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Juris\Documents\RENOVĀCIJA\7.māja\Iepirkums2\"/>
    </mc:Choice>
  </mc:AlternateContent>
  <bookViews>
    <workbookView xWindow="20475" yWindow="-4395" windowWidth="19440" windowHeight="11640" tabRatio="878" activeTab="1" xr2:uid="{00000000-000D-0000-FFFF-FFFF00000000}"/>
  </bookViews>
  <sheets>
    <sheet name="Koptāme " sheetId="57" r:id="rId1"/>
    <sheet name="Kopsavilkums" sheetId="20" r:id="rId2"/>
    <sheet name="Būvlaukums 1-1" sheetId="38" r:id="rId3"/>
    <sheet name="Jumts 1-2" sheetId="53" r:id="rId4"/>
    <sheet name="Fasāde 1-3" sheetId="52" r:id="rId5"/>
    <sheet name="Cokols 1-4" sheetId="36" r:id="rId6"/>
    <sheet name="Durvis, logi 1-5" sheetId="42" r:id="rId7"/>
    <sheet name="Iekšējā apdare 1-6" sheetId="50" r:id="rId8"/>
    <sheet name="pagraba griesti 1-7" sheetId="54" r:id="rId9"/>
    <sheet name="Apkure 2-1" sheetId="47" r:id="rId10"/>
    <sheet name="2-2" sheetId="55" r:id="rId11"/>
  </sheets>
  <externalReferences>
    <externalReference r:id="rId12"/>
    <externalReference r:id="rId13"/>
  </externalReferences>
  <definedNames>
    <definedName name="AKZ_Angebot" localSheetId="0">#REF!</definedName>
    <definedName name="AKZ_Angebot">#REF!</definedName>
    <definedName name="AKZ_Auftrag" localSheetId="0">#REF!</definedName>
    <definedName name="AKZ_Auftrag">#REF!</definedName>
    <definedName name="Ang._Datum" localSheetId="0">#REF!</definedName>
    <definedName name="Ang._Datum">#REF!</definedName>
    <definedName name="Auftr._Datum" localSheetId="0">#REF!</definedName>
    <definedName name="Auftr._Datum">#REF!</definedName>
    <definedName name="Bearbeiter" localSheetId="0">#REF!</definedName>
    <definedName name="Bearbeiter">#REF!</definedName>
    <definedName name="Cent_Stacija" localSheetId="0">#REF!</definedName>
    <definedName name="Cent_Stacija">#REF!</definedName>
    <definedName name="Excel_BuiltIn_Print_Area" localSheetId="0">#REF!</definedName>
    <definedName name="Excel_BuiltIn_Print_Area">#REF!</definedName>
    <definedName name="Faktorgruppe1" localSheetId="0">#REF!</definedName>
    <definedName name="Faktorgruppe1">#REF!</definedName>
    <definedName name="Faktorgruppe2" localSheetId="0">#REF!</definedName>
    <definedName name="Faktorgruppe2">#REF!</definedName>
    <definedName name="Faktorgruppe3" localSheetId="0">#REF!</definedName>
    <definedName name="Faktorgruppe3">#REF!</definedName>
    <definedName name="Faktorgruppe4" localSheetId="0">#REF!</definedName>
    <definedName name="Faktorgruppe4">#REF!</definedName>
    <definedName name="Faktorgruppe5" localSheetId="0">#REF!</definedName>
    <definedName name="Faktorgruppe5">#REF!</definedName>
    <definedName name="Faktorgruppe6" localSheetId="0">#REF!</definedName>
    <definedName name="Faktorgruppe6">#REF!</definedName>
    <definedName name="Faktorgruppe7" localSheetId="0">#REF!</definedName>
    <definedName name="Faktorgruppe7">#REF!</definedName>
    <definedName name="Faktorgruppe8" localSheetId="0">#REF!</definedName>
    <definedName name="Faktorgruppe8">#REF!</definedName>
    <definedName name="Faktorgruppe9" localSheetId="0">#REF!</definedName>
    <definedName name="Faktorgruppe9">#REF!</definedName>
    <definedName name="Faktorwerte" localSheetId="0">#REF!</definedName>
    <definedName name="Faktorwerte">#REF!</definedName>
    <definedName name="Faktorwerte_der_Faktorgruppen" localSheetId="0">#REF!</definedName>
    <definedName name="Faktorwerte_der_Faktorgruppen">#REF!</definedName>
    <definedName name="Gruppenname1" localSheetId="0">#REF!</definedName>
    <definedName name="Gruppenname1">#REF!</definedName>
    <definedName name="Gruppenname2" localSheetId="0">#REF!</definedName>
    <definedName name="Gruppenname2">#REF!</definedName>
    <definedName name="Gruppenname3" localSheetId="0">#REF!</definedName>
    <definedName name="Gruppenname3">#REF!</definedName>
    <definedName name="Gruppenname4" localSheetId="0">#REF!</definedName>
    <definedName name="Gruppenname4">#REF!</definedName>
    <definedName name="Gruppenname5" localSheetId="0">#REF!</definedName>
    <definedName name="Gruppenname5">#REF!</definedName>
    <definedName name="Gruppenname6" localSheetId="0">#REF!</definedName>
    <definedName name="Gruppenname6">#REF!</definedName>
    <definedName name="Gruppenname7" localSheetId="0">#REF!</definedName>
    <definedName name="Gruppenname7">#REF!</definedName>
    <definedName name="Gruppenname8" localSheetId="0">#REF!</definedName>
    <definedName name="Gruppenname8">#REF!</definedName>
    <definedName name="Gruppenname9" localSheetId="0">#REF!</definedName>
    <definedName name="Gruppenname9">#REF!</definedName>
    <definedName name="lapa" localSheetId="0">#REF!</definedName>
    <definedName name="lapa">#REF!</definedName>
    <definedName name="nosaukums">[1]P!$B$5:$B$325</definedName>
    <definedName name="P" localSheetId="0">#REF!</definedName>
    <definedName name="P">#REF!</definedName>
    <definedName name="P_12" localSheetId="0">#REF!</definedName>
    <definedName name="P_12">#REF!</definedName>
    <definedName name="_xlnm.Print_Titles" localSheetId="5">'Cokols 1-4'!$14:$14</definedName>
    <definedName name="Projektname" localSheetId="0">#REF!</definedName>
    <definedName name="Projektname">#REF!</definedName>
    <definedName name="stundasLikme" localSheetId="0">[2]P!#REF!</definedName>
    <definedName name="stundasLikme">[2]P!#REF!</definedName>
    <definedName name="stundasLikme_12" localSheetId="0">[2]P!#REF!</definedName>
    <definedName name="stundasLikme_12">[2]P!#REF!</definedName>
    <definedName name="Titul" localSheetId="0">#REF!</definedName>
    <definedName name="Titul">#REF!</definedName>
    <definedName name="Währungsfaktor" localSheetId="0">#REF!</definedName>
    <definedName name="Währungsfaktor">#REF!</definedName>
    <definedName name="Z_83795769_38C4_11D4_84F6_00002145AA87_.wvu.PrintArea" localSheetId="0">#REF!</definedName>
    <definedName name="Z_83795769_38C4_11D4_84F6_00002145AA87_.wvu.PrintArea">#REF!</definedName>
    <definedName name="Z_83795769_38C4_11D4_84F6_00002145AA87_.wvu.Rows" localSheetId="0">#REF!</definedName>
    <definedName name="Z_83795769_38C4_11D4_84F6_00002145AA87_.wvu.Rows">#REF!</definedName>
  </definedNames>
  <calcPr calcId="171027" fullPrecision="0" concurrentCalc="0"/>
  <fileRecoveryPr autoRecover="0"/>
</workbook>
</file>

<file path=xl/calcChain.xml><?xml version="1.0" encoding="utf-8"?>
<calcChain xmlns="http://schemas.openxmlformats.org/spreadsheetml/2006/main">
  <c r="L29" i="47" l="1"/>
  <c r="N29" i="47"/>
  <c r="O29" i="47"/>
  <c r="K49" i="53"/>
  <c r="L49" i="53"/>
  <c r="M49" i="53"/>
  <c r="O49" i="53"/>
  <c r="P49" i="53"/>
  <c r="M50" i="53"/>
  <c r="L50" i="53"/>
  <c r="O50" i="53"/>
  <c r="N51" i="53"/>
  <c r="P51" i="53"/>
  <c r="K51" i="53"/>
  <c r="K52" i="53"/>
  <c r="L52" i="53"/>
  <c r="O52" i="53"/>
  <c r="K53" i="53"/>
  <c r="N53" i="53"/>
  <c r="P53" i="53"/>
  <c r="K34" i="52"/>
  <c r="E22" i="53"/>
  <c r="C25" i="57"/>
  <c r="C26" i="57"/>
  <c r="C27" i="57"/>
  <c r="N75" i="47"/>
  <c r="N45" i="55"/>
  <c r="D33" i="54"/>
  <c r="D45" i="55"/>
  <c r="N16" i="55"/>
  <c r="N17" i="55"/>
  <c r="N18" i="55"/>
  <c r="N19" i="55"/>
  <c r="N20" i="55"/>
  <c r="N21" i="55"/>
  <c r="N22" i="55"/>
  <c r="N23" i="55"/>
  <c r="N24" i="55"/>
  <c r="N25" i="55"/>
  <c r="N26" i="55"/>
  <c r="N27" i="55"/>
  <c r="N28" i="55"/>
  <c r="N29" i="55"/>
  <c r="N30" i="55"/>
  <c r="N31" i="55"/>
  <c r="N32" i="55"/>
  <c r="N33" i="55"/>
  <c r="N34" i="55"/>
  <c r="N35" i="55"/>
  <c r="N36" i="55"/>
  <c r="N38" i="55"/>
  <c r="N39" i="55"/>
  <c r="P39" i="55"/>
  <c r="O16" i="55"/>
  <c r="H16" i="55"/>
  <c r="M16" i="55"/>
  <c r="P16" i="55"/>
  <c r="O17" i="55"/>
  <c r="H17" i="55"/>
  <c r="M17" i="55"/>
  <c r="P17" i="55"/>
  <c r="O18" i="55"/>
  <c r="H18" i="55"/>
  <c r="M18" i="55"/>
  <c r="P18" i="55"/>
  <c r="O19" i="55"/>
  <c r="H19" i="55"/>
  <c r="M19" i="55"/>
  <c r="P19" i="55"/>
  <c r="P20" i="55"/>
  <c r="O21" i="55"/>
  <c r="H21" i="55"/>
  <c r="M21" i="55"/>
  <c r="P21" i="55"/>
  <c r="O22" i="55"/>
  <c r="H22" i="55"/>
  <c r="M22" i="55"/>
  <c r="P22" i="55"/>
  <c r="O23" i="55"/>
  <c r="H23" i="55"/>
  <c r="M23" i="55"/>
  <c r="P23" i="55"/>
  <c r="O24" i="55"/>
  <c r="H24" i="55"/>
  <c r="M24" i="55"/>
  <c r="P24" i="55"/>
  <c r="O25" i="55"/>
  <c r="H25" i="55"/>
  <c r="M25" i="55"/>
  <c r="P25" i="55"/>
  <c r="O26" i="55"/>
  <c r="H26" i="55"/>
  <c r="M26" i="55"/>
  <c r="P26" i="55"/>
  <c r="O27" i="55"/>
  <c r="H27" i="55"/>
  <c r="M27" i="55"/>
  <c r="P27" i="55"/>
  <c r="O28" i="55"/>
  <c r="H28" i="55"/>
  <c r="M28" i="55"/>
  <c r="P28" i="55"/>
  <c r="O29" i="55"/>
  <c r="H29" i="55"/>
  <c r="M29" i="55"/>
  <c r="P29" i="55"/>
  <c r="O30" i="55"/>
  <c r="H30" i="55"/>
  <c r="M30" i="55"/>
  <c r="P30" i="55"/>
  <c r="O31" i="55"/>
  <c r="H31" i="55"/>
  <c r="M31" i="55"/>
  <c r="P31" i="55"/>
  <c r="O32" i="55"/>
  <c r="H32" i="55"/>
  <c r="M32" i="55"/>
  <c r="P32" i="55"/>
  <c r="O33" i="55"/>
  <c r="H33" i="55"/>
  <c r="M33" i="55"/>
  <c r="P33" i="55"/>
  <c r="O34" i="55"/>
  <c r="H34" i="55"/>
  <c r="M34" i="55"/>
  <c r="P34" i="55"/>
  <c r="P35" i="55"/>
  <c r="P36" i="55"/>
  <c r="O37" i="55"/>
  <c r="H37" i="55"/>
  <c r="M37" i="55"/>
  <c r="P37" i="55"/>
  <c r="P38" i="55"/>
  <c r="P40" i="55"/>
  <c r="O38" i="55"/>
  <c r="O40" i="55"/>
  <c r="N40" i="55"/>
  <c r="M38" i="55"/>
  <c r="M40" i="55"/>
  <c r="L16" i="55"/>
  <c r="L17" i="55"/>
  <c r="L18" i="55"/>
  <c r="L19" i="55"/>
  <c r="L21" i="55"/>
  <c r="L22" i="55"/>
  <c r="L23" i="55"/>
  <c r="L24" i="55"/>
  <c r="L25" i="55"/>
  <c r="L26" i="55"/>
  <c r="L27" i="55"/>
  <c r="L28" i="55"/>
  <c r="L29" i="55"/>
  <c r="L30" i="55"/>
  <c r="L31" i="55"/>
  <c r="L32" i="55"/>
  <c r="L33" i="55"/>
  <c r="L34" i="55"/>
  <c r="L37" i="55"/>
  <c r="L38" i="55"/>
  <c r="K37" i="55"/>
  <c r="K36" i="55"/>
  <c r="K35" i="55"/>
  <c r="K34" i="55"/>
  <c r="K33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C14" i="55"/>
  <c r="D14" i="55"/>
  <c r="E14" i="55"/>
  <c r="F14" i="55"/>
  <c r="G14" i="55"/>
  <c r="H14" i="55"/>
  <c r="I14" i="55"/>
  <c r="J14" i="55"/>
  <c r="K14" i="55"/>
  <c r="L14" i="55"/>
  <c r="M14" i="55"/>
  <c r="N14" i="55"/>
  <c r="O14" i="55"/>
  <c r="P14" i="55"/>
  <c r="L9" i="55"/>
  <c r="N8" i="55"/>
  <c r="A6" i="55"/>
  <c r="A5" i="55"/>
  <c r="A4" i="55"/>
  <c r="D75" i="47"/>
  <c r="N18" i="47"/>
  <c r="N19" i="47"/>
  <c r="N20" i="47"/>
  <c r="N21" i="47"/>
  <c r="N22" i="47"/>
  <c r="N23" i="47"/>
  <c r="N24" i="47"/>
  <c r="N25" i="47"/>
  <c r="N26" i="47"/>
  <c r="N27" i="47"/>
  <c r="N28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N44" i="47"/>
  <c r="N45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3" i="47"/>
  <c r="N64" i="47"/>
  <c r="N65" i="47"/>
  <c r="N66" i="47"/>
  <c r="N67" i="47"/>
  <c r="N68" i="47"/>
  <c r="N69" i="47"/>
  <c r="N70" i="47"/>
  <c r="P70" i="47"/>
  <c r="O16" i="47"/>
  <c r="H16" i="47"/>
  <c r="M16" i="47"/>
  <c r="P16" i="47"/>
  <c r="O17" i="47"/>
  <c r="H17" i="47"/>
  <c r="M17" i="47"/>
  <c r="P17" i="47"/>
  <c r="O18" i="47"/>
  <c r="H18" i="47"/>
  <c r="M18" i="47"/>
  <c r="P18" i="47"/>
  <c r="O19" i="47"/>
  <c r="H19" i="47"/>
  <c r="M19" i="47"/>
  <c r="P19" i="47"/>
  <c r="O20" i="47"/>
  <c r="H20" i="47"/>
  <c r="M20" i="47"/>
  <c r="P20" i="47"/>
  <c r="O21" i="47"/>
  <c r="H21" i="47"/>
  <c r="M21" i="47"/>
  <c r="P21" i="47"/>
  <c r="O22" i="47"/>
  <c r="H22" i="47"/>
  <c r="M22" i="47"/>
  <c r="P22" i="47"/>
  <c r="O23" i="47"/>
  <c r="H23" i="47"/>
  <c r="M23" i="47"/>
  <c r="P23" i="47"/>
  <c r="O24" i="47"/>
  <c r="H24" i="47"/>
  <c r="M24" i="47"/>
  <c r="P24" i="47"/>
  <c r="O25" i="47"/>
  <c r="H25" i="47"/>
  <c r="M25" i="47"/>
  <c r="P25" i="47"/>
  <c r="O26" i="47"/>
  <c r="H26" i="47"/>
  <c r="M26" i="47"/>
  <c r="P26" i="47"/>
  <c r="O27" i="47"/>
  <c r="H27" i="47"/>
  <c r="M27" i="47"/>
  <c r="P27" i="47"/>
  <c r="O28" i="47"/>
  <c r="H28" i="47"/>
  <c r="M28" i="47"/>
  <c r="P28" i="47"/>
  <c r="O30" i="47"/>
  <c r="H30" i="47"/>
  <c r="M30" i="47"/>
  <c r="P30" i="47"/>
  <c r="O31" i="47"/>
  <c r="H31" i="47"/>
  <c r="M31" i="47"/>
  <c r="P31" i="47"/>
  <c r="O32" i="47"/>
  <c r="H32" i="47"/>
  <c r="M32" i="47"/>
  <c r="P32" i="47"/>
  <c r="O33" i="47"/>
  <c r="H33" i="47"/>
  <c r="M33" i="47"/>
  <c r="P33" i="47"/>
  <c r="O34" i="47"/>
  <c r="H34" i="47"/>
  <c r="M34" i="47"/>
  <c r="P34" i="47"/>
  <c r="O35" i="47"/>
  <c r="H35" i="47"/>
  <c r="M35" i="47"/>
  <c r="P35" i="47"/>
  <c r="O36" i="47"/>
  <c r="H36" i="47"/>
  <c r="M36" i="47"/>
  <c r="P36" i="47"/>
  <c r="O37" i="47"/>
  <c r="H37" i="47"/>
  <c r="M37" i="47"/>
  <c r="P37" i="47"/>
  <c r="O38" i="47"/>
  <c r="H38" i="47"/>
  <c r="M38" i="47"/>
  <c r="P38" i="47"/>
  <c r="O39" i="47"/>
  <c r="H39" i="47"/>
  <c r="M39" i="47"/>
  <c r="P39" i="47"/>
  <c r="O40" i="47"/>
  <c r="H40" i="47"/>
  <c r="M40" i="47"/>
  <c r="P40" i="47"/>
  <c r="O41" i="47"/>
  <c r="H41" i="47"/>
  <c r="M41" i="47"/>
  <c r="P41" i="47"/>
  <c r="O42" i="47"/>
  <c r="H42" i="47"/>
  <c r="M42" i="47"/>
  <c r="P42" i="47"/>
  <c r="O43" i="47"/>
  <c r="H43" i="47"/>
  <c r="M43" i="47"/>
  <c r="P43" i="47"/>
  <c r="O44" i="47"/>
  <c r="H44" i="47"/>
  <c r="M44" i="47"/>
  <c r="P44" i="47"/>
  <c r="O45" i="47"/>
  <c r="H45" i="47"/>
  <c r="M45" i="47"/>
  <c r="P45" i="47"/>
  <c r="O46" i="47"/>
  <c r="H46" i="47"/>
  <c r="M46" i="47"/>
  <c r="P46" i="47"/>
  <c r="O47" i="47"/>
  <c r="H47" i="47"/>
  <c r="M47" i="47"/>
  <c r="P47" i="47"/>
  <c r="O48" i="47"/>
  <c r="H48" i="47"/>
  <c r="M48" i="47"/>
  <c r="P48" i="47"/>
  <c r="O49" i="47"/>
  <c r="H49" i="47"/>
  <c r="M49" i="47"/>
  <c r="P49" i="47"/>
  <c r="O50" i="47"/>
  <c r="H50" i="47"/>
  <c r="M50" i="47"/>
  <c r="P50" i="47"/>
  <c r="O51" i="47"/>
  <c r="H51" i="47"/>
  <c r="M51" i="47"/>
  <c r="P51" i="47"/>
  <c r="O52" i="47"/>
  <c r="H52" i="47"/>
  <c r="M52" i="47"/>
  <c r="P52" i="47"/>
  <c r="O53" i="47"/>
  <c r="H53" i="47"/>
  <c r="M53" i="47"/>
  <c r="P53" i="47"/>
  <c r="O54" i="47"/>
  <c r="H54" i="47"/>
  <c r="M54" i="47"/>
  <c r="P54" i="47"/>
  <c r="O55" i="47"/>
  <c r="H55" i="47"/>
  <c r="M55" i="47"/>
  <c r="P55" i="47"/>
  <c r="O56" i="47"/>
  <c r="H56" i="47"/>
  <c r="M56" i="47"/>
  <c r="P56" i="47"/>
  <c r="O57" i="47"/>
  <c r="H57" i="47"/>
  <c r="M57" i="47"/>
  <c r="P57" i="47"/>
  <c r="O58" i="47"/>
  <c r="H58" i="47"/>
  <c r="M58" i="47"/>
  <c r="P58" i="47"/>
  <c r="O59" i="47"/>
  <c r="H59" i="47"/>
  <c r="M59" i="47"/>
  <c r="P59" i="47"/>
  <c r="O60" i="47"/>
  <c r="H60" i="47"/>
  <c r="M60" i="47"/>
  <c r="P60" i="47"/>
  <c r="O61" i="47"/>
  <c r="H61" i="47"/>
  <c r="M61" i="47"/>
  <c r="P61" i="47"/>
  <c r="O62" i="47"/>
  <c r="H62" i="47"/>
  <c r="M62" i="47"/>
  <c r="P62" i="47"/>
  <c r="O63" i="47"/>
  <c r="H63" i="47"/>
  <c r="M63" i="47"/>
  <c r="P63" i="47"/>
  <c r="O64" i="47"/>
  <c r="H64" i="47"/>
  <c r="M64" i="47"/>
  <c r="P64" i="47"/>
  <c r="O65" i="47"/>
  <c r="H65" i="47"/>
  <c r="M65" i="47"/>
  <c r="P65" i="47"/>
  <c r="O66" i="47"/>
  <c r="H66" i="47"/>
  <c r="M66" i="47"/>
  <c r="P66" i="47"/>
  <c r="P67" i="47"/>
  <c r="P68" i="47"/>
  <c r="P69" i="47"/>
  <c r="P71" i="47"/>
  <c r="O69" i="47"/>
  <c r="O71" i="47"/>
  <c r="N71" i="47"/>
  <c r="M69" i="47"/>
  <c r="M71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1" i="47"/>
  <c r="L62" i="47"/>
  <c r="L63" i="47"/>
  <c r="L64" i="47"/>
  <c r="L65" i="47"/>
  <c r="L66" i="47"/>
  <c r="L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P14" i="47"/>
  <c r="L9" i="47"/>
  <c r="N8" i="47"/>
  <c r="A6" i="47"/>
  <c r="A5" i="47"/>
  <c r="A4" i="47"/>
  <c r="N37" i="50"/>
  <c r="N33" i="54"/>
  <c r="E16" i="54"/>
  <c r="N16" i="54"/>
  <c r="E17" i="54"/>
  <c r="N17" i="54"/>
  <c r="E18" i="54"/>
  <c r="N18" i="54"/>
  <c r="E20" i="54"/>
  <c r="N20" i="54"/>
  <c r="E21" i="54"/>
  <c r="E22" i="54"/>
  <c r="N22" i="54"/>
  <c r="E23" i="54"/>
  <c r="N23" i="54"/>
  <c r="E24" i="54"/>
  <c r="E25" i="54"/>
  <c r="N25" i="54"/>
  <c r="E26" i="54"/>
  <c r="N26" i="54"/>
  <c r="N27" i="54"/>
  <c r="N28" i="54"/>
  <c r="P28" i="54"/>
  <c r="O15" i="54"/>
  <c r="H15" i="54"/>
  <c r="M15" i="54"/>
  <c r="P15" i="54"/>
  <c r="P16" i="54"/>
  <c r="P17" i="54"/>
  <c r="P18" i="54"/>
  <c r="O19" i="54"/>
  <c r="H19" i="54"/>
  <c r="M19" i="54"/>
  <c r="P19" i="54"/>
  <c r="P20" i="54"/>
  <c r="O21" i="54"/>
  <c r="H21" i="54"/>
  <c r="M21" i="54"/>
  <c r="P21" i="54"/>
  <c r="P22" i="54"/>
  <c r="P23" i="54"/>
  <c r="O24" i="54"/>
  <c r="H24" i="54"/>
  <c r="M24" i="54"/>
  <c r="P24" i="54"/>
  <c r="P25" i="54"/>
  <c r="P26" i="54"/>
  <c r="P27" i="54"/>
  <c r="P29" i="54"/>
  <c r="O27" i="54"/>
  <c r="O29" i="54"/>
  <c r="N29" i="54"/>
  <c r="M27" i="54"/>
  <c r="M29" i="54"/>
  <c r="L15" i="54"/>
  <c r="L19" i="54"/>
  <c r="L21" i="54"/>
  <c r="L24" i="54"/>
  <c r="L27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C14" i="54"/>
  <c r="D14" i="54"/>
  <c r="E14" i="54"/>
  <c r="F14" i="54"/>
  <c r="G14" i="54"/>
  <c r="H14" i="54"/>
  <c r="I14" i="54"/>
  <c r="J14" i="54"/>
  <c r="K14" i="54"/>
  <c r="L14" i="54"/>
  <c r="M14" i="54"/>
  <c r="N14" i="54"/>
  <c r="O14" i="54"/>
  <c r="P14" i="54"/>
  <c r="L9" i="54"/>
  <c r="N8" i="54"/>
  <c r="A6" i="54"/>
  <c r="A5" i="54"/>
  <c r="A4" i="54"/>
  <c r="D37" i="50"/>
  <c r="E16" i="50"/>
  <c r="N16" i="50"/>
  <c r="E17" i="50"/>
  <c r="N17" i="50"/>
  <c r="E18" i="50"/>
  <c r="N18" i="50"/>
  <c r="E22" i="50"/>
  <c r="N22" i="50"/>
  <c r="N23" i="50"/>
  <c r="E24" i="50"/>
  <c r="N24" i="50"/>
  <c r="E25" i="50"/>
  <c r="N25" i="50"/>
  <c r="E26" i="50"/>
  <c r="N26" i="50"/>
  <c r="E27" i="50"/>
  <c r="N27" i="50"/>
  <c r="E28" i="50"/>
  <c r="N28" i="50"/>
  <c r="E29" i="50"/>
  <c r="N29" i="50"/>
  <c r="E30" i="50"/>
  <c r="N30" i="50"/>
  <c r="N31" i="50"/>
  <c r="N32" i="50"/>
  <c r="P32" i="50"/>
  <c r="O16" i="50"/>
  <c r="H16" i="50"/>
  <c r="M16" i="50"/>
  <c r="P16" i="50"/>
  <c r="O17" i="50"/>
  <c r="H17" i="50"/>
  <c r="M17" i="50"/>
  <c r="P17" i="50"/>
  <c r="O18" i="50"/>
  <c r="H18" i="50"/>
  <c r="M18" i="50"/>
  <c r="P18" i="50"/>
  <c r="O19" i="50"/>
  <c r="H19" i="50"/>
  <c r="M19" i="50"/>
  <c r="P19" i="50"/>
  <c r="O21" i="50"/>
  <c r="H21" i="50"/>
  <c r="M21" i="50"/>
  <c r="P21" i="50"/>
  <c r="P22" i="50"/>
  <c r="P23" i="50"/>
  <c r="P24" i="50"/>
  <c r="P25" i="50"/>
  <c r="P26" i="50"/>
  <c r="P27" i="50"/>
  <c r="P28" i="50"/>
  <c r="P29" i="50"/>
  <c r="P30" i="50"/>
  <c r="P31" i="50"/>
  <c r="P33" i="50"/>
  <c r="O31" i="50"/>
  <c r="O33" i="50"/>
  <c r="N33" i="50"/>
  <c r="M31" i="50"/>
  <c r="M33" i="50"/>
  <c r="L16" i="50"/>
  <c r="L17" i="50"/>
  <c r="L18" i="50"/>
  <c r="L19" i="50"/>
  <c r="L21" i="50"/>
  <c r="L31" i="50"/>
  <c r="K30" i="50"/>
  <c r="K29" i="50"/>
  <c r="K28" i="50"/>
  <c r="K27" i="50"/>
  <c r="K26" i="50"/>
  <c r="K25" i="50"/>
  <c r="K24" i="50"/>
  <c r="K23" i="50"/>
  <c r="K22" i="50"/>
  <c r="K21" i="50"/>
  <c r="K19" i="50"/>
  <c r="K18" i="50"/>
  <c r="K17" i="50"/>
  <c r="K16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P14" i="50"/>
  <c r="L9" i="50"/>
  <c r="N8" i="50"/>
  <c r="A6" i="50"/>
  <c r="A5" i="50"/>
  <c r="A4" i="50"/>
  <c r="N45" i="42"/>
  <c r="D45" i="42"/>
  <c r="N25" i="42"/>
  <c r="N17" i="42"/>
  <c r="N18" i="42"/>
  <c r="N19" i="42"/>
  <c r="N20" i="42"/>
  <c r="N21" i="42"/>
  <c r="N22" i="42"/>
  <c r="N23" i="42"/>
  <c r="N24" i="42"/>
  <c r="N26" i="42"/>
  <c r="N27" i="42"/>
  <c r="N28" i="42"/>
  <c r="N29" i="42"/>
  <c r="N30" i="42"/>
  <c r="N32" i="42"/>
  <c r="N33" i="42"/>
  <c r="N34" i="42"/>
  <c r="N35" i="42"/>
  <c r="N36" i="42"/>
  <c r="N37" i="42"/>
  <c r="N38" i="42"/>
  <c r="N39" i="42"/>
  <c r="N40" i="42"/>
  <c r="P40" i="42"/>
  <c r="P25" i="42"/>
  <c r="O16" i="42"/>
  <c r="H16" i="42"/>
  <c r="M16" i="42"/>
  <c r="P16" i="42"/>
  <c r="P17" i="42"/>
  <c r="P18" i="42"/>
  <c r="P19" i="42"/>
  <c r="P20" i="42"/>
  <c r="P21" i="42"/>
  <c r="P22" i="42"/>
  <c r="P23" i="42"/>
  <c r="P24" i="42"/>
  <c r="P26" i="42"/>
  <c r="P27" i="42"/>
  <c r="P28" i="42"/>
  <c r="P29" i="42"/>
  <c r="P30" i="42"/>
  <c r="O31" i="42"/>
  <c r="H31" i="42"/>
  <c r="M31" i="42"/>
  <c r="P31" i="42"/>
  <c r="P32" i="42"/>
  <c r="P33" i="42"/>
  <c r="P34" i="42"/>
  <c r="P35" i="42"/>
  <c r="P36" i="42"/>
  <c r="P37" i="42"/>
  <c r="P38" i="42"/>
  <c r="P39" i="42"/>
  <c r="P41" i="42"/>
  <c r="O39" i="42"/>
  <c r="O41" i="42"/>
  <c r="N41" i="42"/>
  <c r="M39" i="42"/>
  <c r="M41" i="42"/>
  <c r="L16" i="42"/>
  <c r="L31" i="42"/>
  <c r="L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L9" i="42"/>
  <c r="N8" i="42"/>
  <c r="A7" i="42"/>
  <c r="A6" i="42"/>
  <c r="A5" i="42"/>
  <c r="A4" i="42"/>
  <c r="N54" i="36"/>
  <c r="D54" i="36"/>
  <c r="E20" i="36"/>
  <c r="N20" i="36"/>
  <c r="E21" i="36"/>
  <c r="E22" i="36"/>
  <c r="N22" i="36"/>
  <c r="E23" i="36"/>
  <c r="N23" i="36"/>
  <c r="E25" i="36"/>
  <c r="N25" i="36"/>
  <c r="E26" i="36"/>
  <c r="N26" i="36"/>
  <c r="N27" i="36"/>
  <c r="E28" i="36"/>
  <c r="E29" i="36"/>
  <c r="N29" i="36"/>
  <c r="E30" i="36"/>
  <c r="N30" i="36"/>
  <c r="E31" i="36"/>
  <c r="E32" i="36"/>
  <c r="N32" i="36"/>
  <c r="E33" i="36"/>
  <c r="N33" i="36"/>
  <c r="E34" i="36"/>
  <c r="E35" i="36"/>
  <c r="N35" i="36"/>
  <c r="N38" i="36"/>
  <c r="N40" i="36"/>
  <c r="N41" i="36"/>
  <c r="N42" i="36"/>
  <c r="E44" i="36"/>
  <c r="N44" i="36"/>
  <c r="N45" i="36"/>
  <c r="N46" i="36"/>
  <c r="E47" i="36"/>
  <c r="N47" i="36"/>
  <c r="N48" i="36"/>
  <c r="N49" i="36"/>
  <c r="P49" i="36"/>
  <c r="O16" i="36"/>
  <c r="H16" i="36"/>
  <c r="M16" i="36"/>
  <c r="P16" i="36"/>
  <c r="O17" i="36"/>
  <c r="H17" i="36"/>
  <c r="M17" i="36"/>
  <c r="P17" i="36"/>
  <c r="O18" i="36"/>
  <c r="H18" i="36"/>
  <c r="M18" i="36"/>
  <c r="P18" i="36"/>
  <c r="O19" i="36"/>
  <c r="H19" i="36"/>
  <c r="M19" i="36"/>
  <c r="P19" i="36"/>
  <c r="O20" i="36"/>
  <c r="H20" i="36"/>
  <c r="M20" i="36"/>
  <c r="P20" i="36"/>
  <c r="O21" i="36"/>
  <c r="H21" i="36"/>
  <c r="M21" i="36"/>
  <c r="P21" i="36"/>
  <c r="P22" i="36"/>
  <c r="P23" i="36"/>
  <c r="O24" i="36"/>
  <c r="H24" i="36"/>
  <c r="M24" i="36"/>
  <c r="P24" i="36"/>
  <c r="P25" i="36"/>
  <c r="P26" i="36"/>
  <c r="P27" i="36"/>
  <c r="O28" i="36"/>
  <c r="H28" i="36"/>
  <c r="M28" i="36"/>
  <c r="P28" i="36"/>
  <c r="P29" i="36"/>
  <c r="P30" i="36"/>
  <c r="O31" i="36"/>
  <c r="H31" i="36"/>
  <c r="M31" i="36"/>
  <c r="P31" i="36"/>
  <c r="P32" i="36"/>
  <c r="P33" i="36"/>
  <c r="O34" i="36"/>
  <c r="H34" i="36"/>
  <c r="M34" i="36"/>
  <c r="P34" i="36"/>
  <c r="P35" i="36"/>
  <c r="E36" i="36"/>
  <c r="O36" i="36"/>
  <c r="H36" i="36"/>
  <c r="M36" i="36"/>
  <c r="P36" i="36"/>
  <c r="E37" i="36"/>
  <c r="O37" i="36"/>
  <c r="H37" i="36"/>
  <c r="M37" i="36"/>
  <c r="P37" i="36"/>
  <c r="P38" i="36"/>
  <c r="O39" i="36"/>
  <c r="H39" i="36"/>
  <c r="M39" i="36"/>
  <c r="P39" i="36"/>
  <c r="P40" i="36"/>
  <c r="P41" i="36"/>
  <c r="O42" i="36"/>
  <c r="H42" i="36"/>
  <c r="M42" i="36"/>
  <c r="P42" i="36"/>
  <c r="O43" i="36"/>
  <c r="H43" i="36"/>
  <c r="M43" i="36"/>
  <c r="P43" i="36"/>
  <c r="P44" i="36"/>
  <c r="O45" i="36"/>
  <c r="H45" i="36"/>
  <c r="M45" i="36"/>
  <c r="P45" i="36"/>
  <c r="O46" i="36"/>
  <c r="H46" i="36"/>
  <c r="M46" i="36"/>
  <c r="P46" i="36"/>
  <c r="O47" i="36"/>
  <c r="H47" i="36"/>
  <c r="M47" i="36"/>
  <c r="P47" i="36"/>
  <c r="P48" i="36"/>
  <c r="P50" i="36"/>
  <c r="O48" i="36"/>
  <c r="O50" i="36"/>
  <c r="N50" i="36"/>
  <c r="M48" i="36"/>
  <c r="M50" i="36"/>
  <c r="L16" i="36"/>
  <c r="L17" i="36"/>
  <c r="L18" i="36"/>
  <c r="L19" i="36"/>
  <c r="L20" i="36"/>
  <c r="L21" i="36"/>
  <c r="L24" i="36"/>
  <c r="L28" i="36"/>
  <c r="L31" i="36"/>
  <c r="L34" i="36"/>
  <c r="L36" i="36"/>
  <c r="L37" i="36"/>
  <c r="L39" i="36"/>
  <c r="L42" i="36"/>
  <c r="L43" i="36"/>
  <c r="L45" i="36"/>
  <c r="L46" i="36"/>
  <c r="L47" i="36"/>
  <c r="L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A28" i="36"/>
  <c r="A31" i="36"/>
  <c r="K30" i="36"/>
  <c r="K29" i="36"/>
  <c r="K28" i="36"/>
  <c r="K27" i="36"/>
  <c r="K26" i="36"/>
  <c r="K25" i="36"/>
  <c r="K24" i="36"/>
  <c r="K23" i="36"/>
  <c r="K22" i="36"/>
  <c r="K21" i="36"/>
  <c r="A18" i="36"/>
  <c r="A19" i="36"/>
  <c r="A20" i="36"/>
  <c r="A21" i="36"/>
  <c r="K20" i="36"/>
  <c r="K19" i="36"/>
  <c r="K18" i="36"/>
  <c r="K17" i="36"/>
  <c r="K16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L9" i="36"/>
  <c r="N8" i="36"/>
  <c r="A6" i="36"/>
  <c r="A5" i="36"/>
  <c r="A4" i="36"/>
  <c r="N97" i="52"/>
  <c r="D97" i="52"/>
  <c r="N16" i="52"/>
  <c r="E20" i="52"/>
  <c r="N20" i="52"/>
  <c r="N23" i="52"/>
  <c r="N24" i="52"/>
  <c r="N26" i="52"/>
  <c r="E28" i="52"/>
  <c r="N28" i="52"/>
  <c r="E29" i="52"/>
  <c r="N29" i="52"/>
  <c r="E31" i="52"/>
  <c r="N31" i="52"/>
  <c r="E36" i="52"/>
  <c r="N36" i="52"/>
  <c r="E37" i="52"/>
  <c r="N37" i="52"/>
  <c r="E38" i="52"/>
  <c r="N38" i="52"/>
  <c r="N39" i="52"/>
  <c r="N40" i="52"/>
  <c r="E41" i="52"/>
  <c r="E42" i="52"/>
  <c r="N42" i="52"/>
  <c r="E43" i="52"/>
  <c r="N43" i="52"/>
  <c r="N44" i="52"/>
  <c r="N46" i="52"/>
  <c r="E45" i="52"/>
  <c r="E47" i="52"/>
  <c r="N47" i="52"/>
  <c r="E48" i="52"/>
  <c r="E49" i="52"/>
  <c r="N49" i="52"/>
  <c r="E50" i="52"/>
  <c r="N50" i="52"/>
  <c r="E52" i="52"/>
  <c r="N52" i="52"/>
  <c r="E53" i="52"/>
  <c r="N53" i="52"/>
  <c r="E54" i="52"/>
  <c r="N54" i="52"/>
  <c r="E55" i="52"/>
  <c r="E56" i="52"/>
  <c r="N56" i="52"/>
  <c r="E57" i="52"/>
  <c r="N57" i="52"/>
  <c r="N58" i="52"/>
  <c r="E59" i="52"/>
  <c r="E60" i="52"/>
  <c r="N60" i="52"/>
  <c r="E61" i="52"/>
  <c r="N61" i="52"/>
  <c r="E62" i="52"/>
  <c r="E63" i="52"/>
  <c r="N63" i="52"/>
  <c r="E64" i="52"/>
  <c r="N64" i="52"/>
  <c r="N66" i="52"/>
  <c r="N67" i="52"/>
  <c r="E69" i="52"/>
  <c r="N69" i="52"/>
  <c r="E70" i="52"/>
  <c r="N70" i="52"/>
  <c r="E71" i="52"/>
  <c r="N71" i="52"/>
  <c r="E74" i="52"/>
  <c r="E75" i="52"/>
  <c r="N75" i="52"/>
  <c r="E77" i="52"/>
  <c r="N77" i="52"/>
  <c r="E79" i="52"/>
  <c r="N79" i="52"/>
  <c r="E80" i="52"/>
  <c r="N80" i="52"/>
  <c r="N81" i="52"/>
  <c r="N82" i="52"/>
  <c r="N83" i="52"/>
  <c r="E85" i="52"/>
  <c r="N85" i="52"/>
  <c r="E86" i="52"/>
  <c r="N86" i="52"/>
  <c r="N87" i="52"/>
  <c r="N89" i="52"/>
  <c r="N90" i="52"/>
  <c r="N91" i="52"/>
  <c r="N92" i="52"/>
  <c r="P92" i="52"/>
  <c r="O16" i="52"/>
  <c r="H16" i="52"/>
  <c r="M16" i="52"/>
  <c r="P16" i="52"/>
  <c r="O17" i="52"/>
  <c r="H17" i="52"/>
  <c r="M17" i="52"/>
  <c r="P17" i="52"/>
  <c r="O18" i="52"/>
  <c r="H18" i="52"/>
  <c r="M18" i="52"/>
  <c r="P18" i="52"/>
  <c r="E19" i="52"/>
  <c r="O19" i="52"/>
  <c r="P19" i="52"/>
  <c r="P20" i="52"/>
  <c r="O21" i="52"/>
  <c r="H21" i="52"/>
  <c r="M21" i="52"/>
  <c r="P21" i="52"/>
  <c r="O22" i="52"/>
  <c r="H22" i="52"/>
  <c r="M22" i="52"/>
  <c r="P22" i="52"/>
  <c r="P23" i="52"/>
  <c r="P24" i="52"/>
  <c r="O25" i="52"/>
  <c r="H25" i="52"/>
  <c r="M25" i="52"/>
  <c r="P25" i="52"/>
  <c r="O26" i="52"/>
  <c r="H26" i="52"/>
  <c r="M26" i="52"/>
  <c r="P26" i="52"/>
  <c r="O27" i="52"/>
  <c r="H27" i="52"/>
  <c r="M27" i="52"/>
  <c r="P27" i="52"/>
  <c r="P28" i="52"/>
  <c r="P29" i="52"/>
  <c r="O30" i="52"/>
  <c r="H30" i="52"/>
  <c r="M30" i="52"/>
  <c r="P30" i="52"/>
  <c r="P31" i="52"/>
  <c r="O32" i="52"/>
  <c r="H32" i="52"/>
  <c r="M32" i="52"/>
  <c r="P32" i="52"/>
  <c r="O33" i="52"/>
  <c r="M33" i="52"/>
  <c r="P33" i="52"/>
  <c r="E34" i="52"/>
  <c r="O34" i="52"/>
  <c r="M34" i="52"/>
  <c r="P34" i="52"/>
  <c r="O35" i="52"/>
  <c r="H35" i="52"/>
  <c r="M35" i="52"/>
  <c r="P35" i="52"/>
  <c r="P36" i="52"/>
  <c r="P37" i="52"/>
  <c r="P38" i="52"/>
  <c r="P39" i="52"/>
  <c r="P40" i="52"/>
  <c r="O41" i="52"/>
  <c r="H41" i="52"/>
  <c r="M41" i="52"/>
  <c r="P41" i="52"/>
  <c r="P42" i="52"/>
  <c r="P43" i="52"/>
  <c r="P44" i="52"/>
  <c r="O45" i="52"/>
  <c r="H45" i="52"/>
  <c r="M45" i="52"/>
  <c r="P45" i="52"/>
  <c r="P46" i="52"/>
  <c r="P47" i="52"/>
  <c r="O48" i="52"/>
  <c r="H48" i="52"/>
  <c r="M48" i="52"/>
  <c r="P48" i="52"/>
  <c r="P49" i="52"/>
  <c r="P50" i="52"/>
  <c r="O51" i="52"/>
  <c r="H51" i="52"/>
  <c r="M51" i="52"/>
  <c r="P51" i="52"/>
  <c r="P52" i="52"/>
  <c r="P53" i="52"/>
  <c r="P54" i="52"/>
  <c r="O55" i="52"/>
  <c r="H55" i="52"/>
  <c r="M55" i="52"/>
  <c r="P55" i="52"/>
  <c r="P56" i="52"/>
  <c r="P57" i="52"/>
  <c r="P58" i="52"/>
  <c r="O59" i="52"/>
  <c r="H59" i="52"/>
  <c r="M59" i="52"/>
  <c r="P59" i="52"/>
  <c r="P60" i="52"/>
  <c r="P61" i="52"/>
  <c r="O62" i="52"/>
  <c r="H62" i="52"/>
  <c r="M62" i="52"/>
  <c r="P62" i="52"/>
  <c r="P63" i="52"/>
  <c r="P64" i="52"/>
  <c r="O65" i="52"/>
  <c r="H65" i="52"/>
  <c r="M65" i="52"/>
  <c r="P65" i="52"/>
  <c r="P66" i="52"/>
  <c r="O67" i="52"/>
  <c r="H67" i="52"/>
  <c r="M67" i="52"/>
  <c r="P67" i="52"/>
  <c r="O68" i="52"/>
  <c r="H68" i="52"/>
  <c r="M68" i="52"/>
  <c r="P68" i="52"/>
  <c r="P69" i="52"/>
  <c r="P70" i="52"/>
  <c r="P71" i="52"/>
  <c r="O72" i="52"/>
  <c r="H72" i="52"/>
  <c r="M72" i="52"/>
  <c r="P72" i="52"/>
  <c r="O73" i="52"/>
  <c r="H73" i="52"/>
  <c r="M73" i="52"/>
  <c r="P73" i="52"/>
  <c r="O74" i="52"/>
  <c r="H74" i="52"/>
  <c r="M74" i="52"/>
  <c r="P74" i="52"/>
  <c r="P75" i="52"/>
  <c r="O76" i="52"/>
  <c r="H76" i="52"/>
  <c r="M76" i="52"/>
  <c r="P76" i="52"/>
  <c r="P77" i="52"/>
  <c r="O78" i="52"/>
  <c r="H78" i="52"/>
  <c r="M78" i="52"/>
  <c r="P78" i="52"/>
  <c r="P79" i="52"/>
  <c r="P80" i="52"/>
  <c r="P81" i="52"/>
  <c r="P82" i="52"/>
  <c r="O83" i="52"/>
  <c r="H83" i="52"/>
  <c r="M83" i="52"/>
  <c r="P83" i="52"/>
  <c r="O84" i="52"/>
  <c r="H84" i="52"/>
  <c r="M84" i="52"/>
  <c r="P84" i="52"/>
  <c r="P85" i="52"/>
  <c r="P86" i="52"/>
  <c r="O87" i="52"/>
  <c r="H87" i="52"/>
  <c r="M87" i="52"/>
  <c r="P87" i="52"/>
  <c r="O88" i="52"/>
  <c r="H88" i="52"/>
  <c r="M88" i="52"/>
  <c r="P88" i="52"/>
  <c r="P89" i="52"/>
  <c r="P90" i="52"/>
  <c r="P91" i="52"/>
  <c r="P93" i="52"/>
  <c r="O91" i="52"/>
  <c r="O93" i="52"/>
  <c r="N93" i="52"/>
  <c r="M91" i="52"/>
  <c r="M93" i="52"/>
  <c r="L16" i="52"/>
  <c r="L17" i="52"/>
  <c r="L18" i="52"/>
  <c r="L21" i="52"/>
  <c r="L22" i="52"/>
  <c r="L25" i="52"/>
  <c r="L26" i="52"/>
  <c r="L27" i="52"/>
  <c r="L30" i="52"/>
  <c r="L32" i="52"/>
  <c r="L33" i="52"/>
  <c r="L34" i="52"/>
  <c r="L35" i="52"/>
  <c r="L41" i="52"/>
  <c r="L45" i="52"/>
  <c r="L48" i="52"/>
  <c r="L51" i="52"/>
  <c r="L55" i="52"/>
  <c r="L59" i="52"/>
  <c r="L62" i="52"/>
  <c r="L65" i="52"/>
  <c r="L67" i="52"/>
  <c r="L68" i="52"/>
  <c r="L72" i="52"/>
  <c r="L73" i="52"/>
  <c r="L74" i="52"/>
  <c r="L76" i="52"/>
  <c r="L78" i="52"/>
  <c r="L83" i="52"/>
  <c r="L84" i="52"/>
  <c r="L87" i="52"/>
  <c r="L88" i="52"/>
  <c r="L91" i="52"/>
  <c r="K90" i="52"/>
  <c r="K89" i="52"/>
  <c r="K88" i="52"/>
  <c r="K87" i="52"/>
  <c r="K86" i="52"/>
  <c r="K85" i="52"/>
  <c r="K84" i="52"/>
  <c r="K83" i="52"/>
  <c r="K82" i="52"/>
  <c r="K81" i="52"/>
  <c r="K80" i="52"/>
  <c r="K79" i="52"/>
  <c r="K78" i="52"/>
  <c r="K77" i="52"/>
  <c r="K76" i="52"/>
  <c r="K75" i="52"/>
  <c r="K74" i="52"/>
  <c r="K73" i="52"/>
  <c r="K72" i="52"/>
  <c r="K71" i="52"/>
  <c r="K70" i="52"/>
  <c r="K69" i="52"/>
  <c r="K68" i="52"/>
  <c r="K67" i="52"/>
  <c r="K65" i="52"/>
  <c r="K64" i="52"/>
  <c r="K63" i="52"/>
  <c r="K62" i="52"/>
  <c r="A51" i="52"/>
  <c r="A55" i="52"/>
  <c r="A59" i="52"/>
  <c r="A62" i="52"/>
  <c r="K61" i="52"/>
  <c r="K60" i="52"/>
  <c r="K59" i="52"/>
  <c r="K58" i="52"/>
  <c r="K57" i="52"/>
  <c r="K56" i="52"/>
  <c r="K55" i="52"/>
  <c r="K54" i="52"/>
  <c r="K53" i="52"/>
  <c r="K52" i="52"/>
  <c r="K51" i="52"/>
  <c r="K50" i="52"/>
  <c r="K49" i="52"/>
  <c r="K48" i="52"/>
  <c r="K47" i="52"/>
  <c r="K46" i="52"/>
  <c r="K45" i="52"/>
  <c r="K44" i="52"/>
  <c r="K43" i="52"/>
  <c r="K42" i="52"/>
  <c r="K41" i="52"/>
  <c r="K40" i="52"/>
  <c r="K39" i="52"/>
  <c r="K38" i="52"/>
  <c r="K37" i="52"/>
  <c r="K36" i="52"/>
  <c r="K35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A18" i="52"/>
  <c r="K17" i="52"/>
  <c r="K16" i="52"/>
  <c r="C14" i="52"/>
  <c r="D14" i="52"/>
  <c r="E14" i="52"/>
  <c r="F14" i="52"/>
  <c r="G14" i="52"/>
  <c r="H14" i="52"/>
  <c r="I14" i="52"/>
  <c r="J14" i="52"/>
  <c r="K14" i="52"/>
  <c r="L14" i="52"/>
  <c r="M14" i="52"/>
  <c r="N14" i="52"/>
  <c r="O14" i="52"/>
  <c r="P14" i="52"/>
  <c r="L9" i="52"/>
  <c r="N8" i="52"/>
  <c r="A6" i="52"/>
  <c r="A5" i="52"/>
  <c r="A4" i="52"/>
  <c r="N75" i="53"/>
  <c r="D75" i="53"/>
  <c r="N68" i="53"/>
  <c r="P68" i="53"/>
  <c r="K68" i="53"/>
  <c r="N67" i="53"/>
  <c r="P67" i="53"/>
  <c r="K67" i="53"/>
  <c r="O66" i="53"/>
  <c r="H66" i="53"/>
  <c r="M66" i="53"/>
  <c r="P66" i="53"/>
  <c r="L66" i="53"/>
  <c r="K66" i="53"/>
  <c r="N65" i="53"/>
  <c r="P65" i="53"/>
  <c r="K65" i="53"/>
  <c r="N64" i="53"/>
  <c r="P64" i="53"/>
  <c r="K64" i="53"/>
  <c r="O63" i="53"/>
  <c r="H63" i="53"/>
  <c r="M63" i="53"/>
  <c r="P63" i="53"/>
  <c r="L63" i="53"/>
  <c r="K63" i="53"/>
  <c r="O62" i="53"/>
  <c r="N62" i="53"/>
  <c r="H62" i="53"/>
  <c r="M62" i="53"/>
  <c r="P62" i="53"/>
  <c r="L62" i="53"/>
  <c r="K62" i="53"/>
  <c r="E61" i="53"/>
  <c r="N61" i="53"/>
  <c r="P61" i="53"/>
  <c r="K61" i="53"/>
  <c r="E60" i="53"/>
  <c r="N60" i="53"/>
  <c r="P60" i="53"/>
  <c r="K60" i="53"/>
  <c r="E59" i="53"/>
  <c r="N59" i="53"/>
  <c r="P59" i="53"/>
  <c r="K59" i="53"/>
  <c r="E58" i="53"/>
  <c r="N58" i="53"/>
  <c r="P58" i="53"/>
  <c r="K58" i="53"/>
  <c r="O57" i="53"/>
  <c r="L57" i="53"/>
  <c r="H57" i="53"/>
  <c r="M57" i="53"/>
  <c r="K56" i="53"/>
  <c r="E56" i="53"/>
  <c r="N56" i="53"/>
  <c r="P56" i="53"/>
  <c r="K55" i="53"/>
  <c r="E55" i="53"/>
  <c r="N55" i="53"/>
  <c r="P55" i="53"/>
  <c r="O54" i="53"/>
  <c r="L54" i="53"/>
  <c r="H54" i="53"/>
  <c r="K54" i="53"/>
  <c r="O48" i="53"/>
  <c r="H48" i="53"/>
  <c r="M48" i="53"/>
  <c r="P48" i="53"/>
  <c r="L48" i="53"/>
  <c r="K48" i="53"/>
  <c r="O47" i="53"/>
  <c r="L47" i="53"/>
  <c r="H47" i="53"/>
  <c r="K47" i="53"/>
  <c r="M47" i="53"/>
  <c r="P47" i="53"/>
  <c r="O45" i="53"/>
  <c r="N45" i="53"/>
  <c r="L45" i="53"/>
  <c r="H45" i="53"/>
  <c r="M45" i="53"/>
  <c r="O44" i="53"/>
  <c r="N44" i="53"/>
  <c r="H44" i="53"/>
  <c r="M44" i="53"/>
  <c r="P44" i="53"/>
  <c r="L44" i="53"/>
  <c r="K44" i="53"/>
  <c r="N43" i="53"/>
  <c r="P43" i="53"/>
  <c r="K43" i="53"/>
  <c r="N42" i="53"/>
  <c r="P42" i="53"/>
  <c r="K42" i="53"/>
  <c r="O41" i="53"/>
  <c r="H41" i="53"/>
  <c r="M41" i="53"/>
  <c r="P41" i="53"/>
  <c r="L41" i="53"/>
  <c r="K41" i="53"/>
  <c r="O40" i="53"/>
  <c r="N40" i="53"/>
  <c r="H40" i="53"/>
  <c r="M40" i="53"/>
  <c r="P40" i="53"/>
  <c r="L40" i="53"/>
  <c r="K40" i="53"/>
  <c r="K39" i="53"/>
  <c r="K38" i="53"/>
  <c r="E37" i="53"/>
  <c r="O37" i="53"/>
  <c r="H37" i="53"/>
  <c r="M37" i="53"/>
  <c r="P37" i="53"/>
  <c r="E39" i="53"/>
  <c r="N39" i="53"/>
  <c r="P39" i="53"/>
  <c r="K36" i="53"/>
  <c r="N35" i="53"/>
  <c r="P35" i="53"/>
  <c r="K35" i="53"/>
  <c r="E34" i="53"/>
  <c r="L34" i="53"/>
  <c r="H34" i="53"/>
  <c r="K34" i="53"/>
  <c r="O34" i="53"/>
  <c r="N33" i="53"/>
  <c r="P33" i="53"/>
  <c r="K33" i="53"/>
  <c r="E32" i="53"/>
  <c r="N32" i="53"/>
  <c r="P32" i="53"/>
  <c r="K32" i="53"/>
  <c r="E31" i="53"/>
  <c r="N31" i="53"/>
  <c r="P31" i="53"/>
  <c r="K31" i="53"/>
  <c r="O30" i="53"/>
  <c r="L30" i="53"/>
  <c r="H30" i="53"/>
  <c r="M30" i="53"/>
  <c r="O29" i="53"/>
  <c r="N29" i="53"/>
  <c r="H29" i="53"/>
  <c r="M29" i="53"/>
  <c r="P29" i="53"/>
  <c r="L29" i="53"/>
  <c r="K29" i="53"/>
  <c r="O28" i="53"/>
  <c r="N28" i="53"/>
  <c r="H28" i="53"/>
  <c r="M28" i="53"/>
  <c r="P28" i="53"/>
  <c r="L28" i="53"/>
  <c r="K28" i="53"/>
  <c r="E27" i="53"/>
  <c r="N27" i="53"/>
  <c r="P27" i="53"/>
  <c r="K27" i="53"/>
  <c r="E26" i="53"/>
  <c r="N26" i="53"/>
  <c r="P26" i="53"/>
  <c r="K26" i="53"/>
  <c r="E25" i="53"/>
  <c r="N25" i="53"/>
  <c r="P25" i="53"/>
  <c r="K25" i="53"/>
  <c r="E24" i="53"/>
  <c r="N24" i="53"/>
  <c r="P24" i="53"/>
  <c r="K24" i="53"/>
  <c r="O23" i="53"/>
  <c r="L23" i="53"/>
  <c r="H23" i="53"/>
  <c r="M23" i="53"/>
  <c r="K22" i="53"/>
  <c r="N22" i="53"/>
  <c r="E21" i="53"/>
  <c r="N21" i="53"/>
  <c r="P21" i="53"/>
  <c r="K21" i="53"/>
  <c r="E20" i="53"/>
  <c r="N20" i="53"/>
  <c r="P20" i="53"/>
  <c r="K20" i="53"/>
  <c r="E19" i="53"/>
  <c r="N19" i="53"/>
  <c r="P19" i="53"/>
  <c r="K19" i="53"/>
  <c r="O18" i="53"/>
  <c r="L18" i="53"/>
  <c r="H18" i="53"/>
  <c r="M18" i="53"/>
  <c r="K17" i="53"/>
  <c r="E17" i="53"/>
  <c r="N17" i="53"/>
  <c r="P17" i="53"/>
  <c r="O16" i="53"/>
  <c r="H16" i="53"/>
  <c r="M16" i="53"/>
  <c r="P16" i="53"/>
  <c r="L16" i="53"/>
  <c r="K16" i="53"/>
  <c r="O15" i="53"/>
  <c r="O69" i="53"/>
  <c r="O71" i="53"/>
  <c r="G16" i="20"/>
  <c r="L15" i="53"/>
  <c r="H15" i="53"/>
  <c r="M15" i="53"/>
  <c r="C14" i="53"/>
  <c r="D14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L9" i="53"/>
  <c r="A6" i="38"/>
  <c r="A6" i="53"/>
  <c r="A5" i="38"/>
  <c r="A5" i="53"/>
  <c r="A4" i="38"/>
  <c r="A4" i="53"/>
  <c r="N36" i="38"/>
  <c r="D36" i="38"/>
  <c r="O16" i="38"/>
  <c r="O17" i="38"/>
  <c r="O18" i="38"/>
  <c r="O19" i="38"/>
  <c r="O20" i="38"/>
  <c r="O21" i="38"/>
  <c r="O22" i="38"/>
  <c r="O23" i="38"/>
  <c r="O24" i="38"/>
  <c r="O25" i="38"/>
  <c r="O26" i="38"/>
  <c r="O28" i="38"/>
  <c r="O29" i="38"/>
  <c r="O30" i="38"/>
  <c r="O32" i="38"/>
  <c r="H15" i="38"/>
  <c r="M15" i="38"/>
  <c r="H17" i="38"/>
  <c r="M17" i="38"/>
  <c r="H22" i="38"/>
  <c r="M22" i="38"/>
  <c r="H24" i="38"/>
  <c r="M24" i="38"/>
  <c r="H25" i="38"/>
  <c r="M25" i="38"/>
  <c r="H26" i="38"/>
  <c r="M26" i="38"/>
  <c r="H27" i="38"/>
  <c r="M27" i="38"/>
  <c r="H29" i="38"/>
  <c r="M29" i="38"/>
  <c r="M30" i="38"/>
  <c r="M32" i="38"/>
  <c r="N22" i="38"/>
  <c r="N24" i="38"/>
  <c r="N25" i="38"/>
  <c r="N26" i="38"/>
  <c r="N29" i="38"/>
  <c r="N30" i="38"/>
  <c r="N31" i="38"/>
  <c r="N32" i="38"/>
  <c r="F15" i="20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L15" i="38"/>
  <c r="L17" i="38"/>
  <c r="L22" i="38"/>
  <c r="L24" i="38"/>
  <c r="L25" i="38"/>
  <c r="L26" i="38"/>
  <c r="L27" i="38"/>
  <c r="L29" i="38"/>
  <c r="L30" i="38"/>
  <c r="K29" i="38"/>
  <c r="K28" i="38"/>
  <c r="K27" i="38"/>
  <c r="K26" i="38"/>
  <c r="K25" i="38"/>
  <c r="K24" i="38"/>
  <c r="A24" i="38"/>
  <c r="K23" i="38"/>
  <c r="K22" i="38"/>
  <c r="A17" i="38"/>
  <c r="A22" i="38"/>
  <c r="K21" i="38"/>
  <c r="K20" i="38"/>
  <c r="K19" i="38"/>
  <c r="K18" i="38"/>
  <c r="K17" i="38"/>
  <c r="K16" i="38"/>
  <c r="K15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L8" i="38"/>
  <c r="H24" i="20"/>
  <c r="G24" i="20"/>
  <c r="F24" i="20"/>
  <c r="E24" i="20"/>
  <c r="D24" i="20"/>
  <c r="H23" i="20"/>
  <c r="G23" i="20"/>
  <c r="F23" i="20"/>
  <c r="E23" i="20"/>
  <c r="D23" i="20"/>
  <c r="H21" i="20"/>
  <c r="G21" i="20"/>
  <c r="F21" i="20"/>
  <c r="E21" i="20"/>
  <c r="D21" i="20"/>
  <c r="H20" i="20"/>
  <c r="G20" i="20"/>
  <c r="F20" i="20"/>
  <c r="E20" i="20"/>
  <c r="D20" i="20"/>
  <c r="H19" i="20"/>
  <c r="G19" i="20"/>
  <c r="F19" i="20"/>
  <c r="E19" i="20"/>
  <c r="D19" i="20"/>
  <c r="A18" i="20"/>
  <c r="A19" i="20"/>
  <c r="H18" i="20"/>
  <c r="G18" i="20"/>
  <c r="F18" i="20"/>
  <c r="E18" i="20"/>
  <c r="D18" i="20"/>
  <c r="H17" i="20"/>
  <c r="G17" i="20"/>
  <c r="F17" i="20"/>
  <c r="E17" i="20"/>
  <c r="D17" i="20"/>
  <c r="H15" i="20"/>
  <c r="G15" i="20"/>
  <c r="E15" i="20"/>
  <c r="P50" i="53"/>
  <c r="M52" i="53"/>
  <c r="P52" i="53"/>
  <c r="K50" i="53"/>
  <c r="P30" i="53"/>
  <c r="P18" i="53"/>
  <c r="P45" i="53"/>
  <c r="P57" i="53"/>
  <c r="P23" i="53"/>
  <c r="K15" i="53"/>
  <c r="P15" i="53"/>
  <c r="K18" i="53"/>
  <c r="K23" i="53"/>
  <c r="K30" i="53"/>
  <c r="M34" i="53"/>
  <c r="P34" i="53"/>
  <c r="K37" i="53"/>
  <c r="K45" i="53"/>
  <c r="M54" i="53"/>
  <c r="P54" i="53"/>
  <c r="K57" i="53"/>
  <c r="E36" i="53"/>
  <c r="N36" i="53"/>
  <c r="P36" i="53"/>
  <c r="L37" i="53"/>
  <c r="L69" i="53"/>
  <c r="H16" i="20"/>
  <c r="H25" i="20"/>
  <c r="F9" i="20"/>
  <c r="E38" i="53"/>
  <c r="N38" i="53"/>
  <c r="P38" i="53"/>
  <c r="G25" i="20"/>
  <c r="P22" i="53"/>
  <c r="P31" i="38"/>
  <c r="P32" i="38"/>
  <c r="N69" i="53"/>
  <c r="N70" i="53"/>
  <c r="N71" i="53"/>
  <c r="F16" i="20"/>
  <c r="F25" i="20"/>
  <c r="P69" i="53"/>
  <c r="M69" i="53"/>
  <c r="M71" i="53"/>
  <c r="E16" i="20"/>
  <c r="E25" i="20"/>
  <c r="N7" i="38"/>
  <c r="D15" i="20"/>
  <c r="P70" i="53"/>
  <c r="P71" i="53"/>
  <c r="D16" i="20"/>
  <c r="N8" i="53"/>
  <c r="D25" i="20"/>
  <c r="D30" i="20"/>
  <c r="F8" i="20"/>
</calcChain>
</file>

<file path=xl/sharedStrings.xml><?xml version="1.0" encoding="utf-8"?>
<sst xmlns="http://schemas.openxmlformats.org/spreadsheetml/2006/main" count="1178" uniqueCount="426">
  <si>
    <t>Vispārējie būvdarbi</t>
  </si>
  <si>
    <t>Objekta nosaukums</t>
  </si>
  <si>
    <t xml:space="preserve"> </t>
  </si>
  <si>
    <t xml:space="preserve"> Par kopējo summu, </t>
  </si>
  <si>
    <t>Nr.                        p.k.</t>
  </si>
  <si>
    <t>Kods, tāmes Nr.</t>
  </si>
  <si>
    <t>Darbu veids</t>
  </si>
  <si>
    <t>Tai skaitā</t>
  </si>
  <si>
    <t xml:space="preserve">Darb-ietilpība (c/h)  </t>
  </si>
  <si>
    <t>Kopā:</t>
  </si>
  <si>
    <t>t.sk.darba aizsardzība</t>
  </si>
  <si>
    <t>Kods</t>
  </si>
  <si>
    <t>Darba nosaukums</t>
  </si>
  <si>
    <t>Vienības izmaksas</t>
  </si>
  <si>
    <t>Kopā uz visu apjomu</t>
  </si>
  <si>
    <t>k-ts</t>
  </si>
  <si>
    <t>1-1</t>
  </si>
  <si>
    <t>Nr. p. k.</t>
  </si>
  <si>
    <t>Mērvienība</t>
  </si>
  <si>
    <t>Daudzums</t>
  </si>
  <si>
    <t>Materiāli bez PVN</t>
  </si>
  <si>
    <t>Darbs bez soc.nod.</t>
  </si>
  <si>
    <t>Mehānismi bez PVN</t>
  </si>
  <si>
    <t>laika norma, c/h</t>
  </si>
  <si>
    <t>darbietilp., c/h</t>
  </si>
  <si>
    <t>KOPĀ:</t>
  </si>
  <si>
    <t>Materiālu, grunts apmaiņas un būvgružu transporta izdevumi</t>
  </si>
  <si>
    <t>Sastādīja:</t>
  </si>
  <si>
    <t>Pārbaudīja:</t>
  </si>
  <si>
    <t xml:space="preserve">  (paraksts un tā atšifrējums, datums)</t>
  </si>
  <si>
    <t>Lokālā tāme Nr. 1-1</t>
  </si>
  <si>
    <t>Līmjava</t>
  </si>
  <si>
    <t>Siets</t>
  </si>
  <si>
    <t>obj.</t>
  </si>
  <si>
    <t xml:space="preserve"> Kopējā darbietilpība, c/h:</t>
  </si>
  <si>
    <t>kg</t>
  </si>
  <si>
    <t>08-00000</t>
  </si>
  <si>
    <t>m</t>
  </si>
  <si>
    <t>13-00000</t>
  </si>
  <si>
    <t>03-00000</t>
  </si>
  <si>
    <t xml:space="preserve">Sastādīja: </t>
  </si>
  <si>
    <t>(vārds, uzvārds, paraksts un datums)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</si>
  <si>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</si>
  <si>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</si>
  <si>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</si>
  <si>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r>
      <t>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</si>
  <si>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3</t>
    </r>
  </si>
  <si>
    <t>lig.c.</t>
  </si>
  <si>
    <t>Apmetums</t>
  </si>
  <si>
    <t>Fasādes dekoratīvais krāsojums atbilstoši krāsu pasei</t>
  </si>
  <si>
    <t>Gunts krāsa</t>
  </si>
  <si>
    <t>Tonēta fasādes krāsa</t>
  </si>
  <si>
    <t>mēn.</t>
  </si>
  <si>
    <t>Kopā bez PVN 21%</t>
  </si>
  <si>
    <t>02-00000</t>
  </si>
  <si>
    <t>Būvlaukums</t>
  </si>
  <si>
    <t>Žoga nomas izmaksas</t>
  </si>
  <si>
    <t>Inventārā žoga montāža-demontāža, vārtu izveidošana</t>
  </si>
  <si>
    <t>Būvlaukuma apsardze</t>
  </si>
  <si>
    <t>Pagaidu pieslēgums - elektroapgādei un ūdensapgādei</t>
  </si>
  <si>
    <t>Esošās ūdens novadīšanas joslas demontāža</t>
  </si>
  <si>
    <t>Esošo pamatu atrakšana</t>
  </si>
  <si>
    <t>Fasādes sastatņu montāža-demontāža</t>
  </si>
  <si>
    <t>Sastatņu nomas izmkasas</t>
  </si>
  <si>
    <t>Sastatņu aizsargsiets</t>
  </si>
  <si>
    <t>Zemapmetuma grunts</t>
  </si>
  <si>
    <t>Būvtāfele un tās uzstādīšana</t>
  </si>
  <si>
    <t>21-00000</t>
  </si>
  <si>
    <t>1</t>
  </si>
  <si>
    <t>2</t>
  </si>
  <si>
    <t>darba samaksas likme, EUR/h</t>
  </si>
  <si>
    <t>darba alga, EUR</t>
  </si>
  <si>
    <t>materiālu cena, EUR</t>
  </si>
  <si>
    <t>mehānismi, EUR</t>
  </si>
  <si>
    <t>kopā, EUR</t>
  </si>
  <si>
    <t>summa, EUR</t>
  </si>
  <si>
    <t>Tāmes izmaksas, EUR</t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</si>
  <si>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</si>
  <si>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Palīgmateriāli</t>
  </si>
  <si>
    <t>Tiešās izmaksas kopā, EUR:</t>
  </si>
  <si>
    <t>Lokālā tāme Nr. 1-2</t>
  </si>
  <si>
    <t>Fasāde</t>
  </si>
  <si>
    <t>Skārda palodžu demontāža</t>
  </si>
  <si>
    <t>Esošā aprīkojuma demontāža no fasādes un montāža pēc rekonstrukcijas darbu pabeigšanas (numura zīme, karoga turētājs, gaismekļi, sarunu iekārtas, kodatslēgas u.c.)</t>
  </si>
  <si>
    <t>Cokols</t>
  </si>
  <si>
    <t>Segumu demontāža ap ēku papildus 1.0 m platumā, lai nodrošinātu vietu cokola apdares darbu veikšanai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</si>
  <si>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</si>
  <si>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</si>
  <si>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</si>
  <si>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t>Bituma bāzes hidroizolāciju/līmi bez šķīdinātājiem</t>
  </si>
  <si>
    <t>Smilts ar piegādi</t>
  </si>
  <si>
    <t>Būvbedres aizbēršana veicot blietēšanu pa kārtām un daļēju grunts nomaiņu (50% apjomā)</t>
  </si>
  <si>
    <t>Liekās grunts izvesšana un utilizācija</t>
  </si>
  <si>
    <t>Lokālā tāme Nr. 1-4</t>
  </si>
  <si>
    <t>Būvlaukuma sagatavošanas darbi</t>
  </si>
  <si>
    <t>Strādnieku vagoniņa nomas izmaksas</t>
  </si>
  <si>
    <t>Noliktava konteinera nomas izmaksas</t>
  </si>
  <si>
    <t>WC apkalpošana un noma</t>
  </si>
  <si>
    <t>Sadzīves telpu piegāde un pieslēgums komunikācijām, aizvesšana pēc būvdarbu veikšanas</t>
  </si>
  <si>
    <t>k-ti</t>
  </si>
  <si>
    <t>Būvgružu savākšana un izvesšana (10m3 konteineri)</t>
  </si>
  <si>
    <t>reisi</t>
  </si>
  <si>
    <t>1-2</t>
  </si>
  <si>
    <t>1-3</t>
  </si>
  <si>
    <t>1-4</t>
  </si>
  <si>
    <t>1-5</t>
  </si>
  <si>
    <t>Pašizlīdzinošā sastāva iestrāde lievenī</t>
  </si>
  <si>
    <t>Fasādes siltināšana un apdare</t>
  </si>
  <si>
    <t>Tāmes izmaksas (EUR)</t>
  </si>
  <si>
    <t>darba alga (EUR)</t>
  </si>
  <si>
    <t>materiāli (EUR)</t>
  </si>
  <si>
    <t xml:space="preserve">mehā-nismi (EUR)   </t>
  </si>
  <si>
    <t>1.Vispārējie būvdarbi</t>
  </si>
  <si>
    <t>2.speciālie būvdarbi</t>
  </si>
  <si>
    <t>Lokālā tāme Nr. 1-5</t>
  </si>
  <si>
    <t>2-1</t>
  </si>
  <si>
    <t>Lokālā tāme Nr. 2-1</t>
  </si>
  <si>
    <t>Būvlaukuma sagatavošana</t>
  </si>
  <si>
    <t>Fasādes siltināsana un apdare</t>
  </si>
  <si>
    <t>Esošo lieveņu betona virsmas un pakāpienu attīrīšana un gruntēšana</t>
  </si>
  <si>
    <t>Durvju un logu bloku montāža</t>
  </si>
  <si>
    <t>Apkures siltķermeņu demontāža, jaunu montāža uzstādot termoregulējošos ventiļus</t>
  </si>
  <si>
    <t>Virspamata zonas  sieniņu novilkšana ar līmjavu un sieta iestrāde</t>
  </si>
  <si>
    <t>Cokola  dekoratīvais apmetums</t>
  </si>
  <si>
    <t>Cokola un  krāsojums atbilstoši krāsu pasei</t>
  </si>
  <si>
    <t>Pagaidu nojumes pie ieejām izgatavotas no koka un finiera.</t>
  </si>
  <si>
    <t>Ugunsdzēsēju stends, tā uzstādīšana</t>
  </si>
  <si>
    <t>gab.</t>
  </si>
  <si>
    <t>Ēkas radiatoru apkures sistēma</t>
  </si>
  <si>
    <t>kompl.</t>
  </si>
  <si>
    <t>Izolācijas montāžas palīgmateriāli</t>
  </si>
  <si>
    <t>m2</t>
  </si>
  <si>
    <t>17-00000</t>
  </si>
  <si>
    <t>m3</t>
  </si>
  <si>
    <t xml:space="preserve">m </t>
  </si>
  <si>
    <t>gab</t>
  </si>
  <si>
    <t>Jumta lūkas uzstādīšana</t>
  </si>
  <si>
    <t>Skrepa M600</t>
  </si>
  <si>
    <t>Penetron</t>
  </si>
  <si>
    <t>tek.m</t>
  </si>
  <si>
    <t>Pieslēgums pie sienas</t>
  </si>
  <si>
    <t>3</t>
  </si>
  <si>
    <t>4</t>
  </si>
  <si>
    <t>09-00000</t>
  </si>
  <si>
    <t>Čuguna radiatoru demontāža</t>
  </si>
  <si>
    <t>Cauruļvadu demontāža</t>
  </si>
  <si>
    <t xml:space="preserve">Stūra profils ar sieta pagarinājumu </t>
  </si>
  <si>
    <t>Iekšējā apdare</t>
  </si>
  <si>
    <t>Lokālā tāme Nr. 1-6</t>
  </si>
  <si>
    <t>10-00000</t>
  </si>
  <si>
    <t>Sienu gruntēšana un krāsošana</t>
  </si>
  <si>
    <t>Caurumu izkalšana caurulēm</t>
  </si>
  <si>
    <t>Sienu apdares atjaunošana pēc radiatoru, cauruļu demontāžas un to montāžas</t>
  </si>
  <si>
    <t>Sienu gruntēšana un apmešana</t>
  </si>
  <si>
    <t>Sienu špaktelēšana, slīpēšana</t>
  </si>
  <si>
    <t>l</t>
  </si>
  <si>
    <t>Grunts</t>
  </si>
  <si>
    <t>Loga aiļu apdare</t>
  </si>
  <si>
    <t>Sarga konteinera nomas izmaksas</t>
  </si>
  <si>
    <t>1-6</t>
  </si>
  <si>
    <r>
      <t>m</t>
    </r>
    <r>
      <rPr>
        <vertAlign val="superscript"/>
        <sz val="10"/>
        <color indexed="8"/>
        <rFont val="Times New Roman"/>
        <family val="1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</si>
  <si>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Krāsa</t>
  </si>
  <si>
    <t>Noslēgventilis DN20</t>
  </si>
  <si>
    <t>Tērauda caurule DN25</t>
  </si>
  <si>
    <t>U-veida PVC profils 12mm/2700</t>
  </si>
  <si>
    <t>Skrūves</t>
  </si>
  <si>
    <t>Fasādes dekoratīvais apmetums</t>
  </si>
  <si>
    <t>Skursteņu apdare ar sietu iestrādātu līmjavas kārtā</t>
  </si>
  <si>
    <t>Skursteņu dekoratīvais apmetums</t>
  </si>
  <si>
    <t xml:space="preserve">Skursteņu dekoratīvais krāsojums </t>
  </si>
  <si>
    <t>Skārda elemetu ierīkošana</t>
  </si>
  <si>
    <r>
      <t>m</t>
    </r>
    <r>
      <rPr>
        <vertAlign val="superscript"/>
        <sz val="9"/>
        <color indexed="8"/>
        <rFont val="Times New Roman"/>
        <family val="1"/>
        <charset val="186"/>
      </rPr>
      <t>2</t>
    </r>
  </si>
  <si>
    <t>Skursteņu jumtiņu ierīkošana</t>
  </si>
  <si>
    <t>10</t>
  </si>
  <si>
    <t>11</t>
  </si>
  <si>
    <t>12</t>
  </si>
  <si>
    <t>13</t>
  </si>
  <si>
    <t>Ailu apdare</t>
  </si>
  <si>
    <t>Tonēta cokola krāsa</t>
  </si>
  <si>
    <t>Drenējoša slāņa izveide</t>
  </si>
  <si>
    <t>Rupjas smilts</t>
  </si>
  <si>
    <t>Sagataves kartas uzveide</t>
  </si>
  <si>
    <t>Smilts</t>
  </si>
  <si>
    <t>Šķembas  frakcija 20-40</t>
  </si>
  <si>
    <t>Borta akmens montāža</t>
  </si>
  <si>
    <t>Brūģešanas darbi</t>
  </si>
  <si>
    <t>Bruģis 198x98x60</t>
  </si>
  <si>
    <t>31-00000</t>
  </si>
  <si>
    <t>Dibelis 6х50</t>
  </si>
  <si>
    <t>Gipškartons GKBI 12/1200/3000</t>
  </si>
  <si>
    <t>Knauf Perlfix</t>
  </si>
  <si>
    <t>Špakteļtepe</t>
  </si>
  <si>
    <t>Alumīnija stūri</t>
  </si>
  <si>
    <t>03-00001</t>
  </si>
  <si>
    <t>Apgaismes mastu noma</t>
  </si>
  <si>
    <t>03-00002</t>
  </si>
  <si>
    <t>Apgaismes mastu ierīkošana un noņemšana</t>
  </si>
  <si>
    <t>Apkures sistēma</t>
  </si>
  <si>
    <t>2-2</t>
  </si>
  <si>
    <t xml:space="preserve">Objekta nosaukums: Energoefektivitātes paaugstināšanas projekts dzīvojamai mājai </t>
  </si>
  <si>
    <t>5</t>
  </si>
  <si>
    <t>6</t>
  </si>
  <si>
    <t>7</t>
  </si>
  <si>
    <t>8</t>
  </si>
  <si>
    <t>9</t>
  </si>
  <si>
    <t xml:space="preserve"> PLAKANĀ JUMTA REMONTS VIRS IEEJAS </t>
  </si>
  <si>
    <t>Griestu krāsošana</t>
  </si>
  <si>
    <t>Esošās fasādes virsmas attīrīšana un gruntēša</t>
  </si>
  <si>
    <t>Dziļumgrunts</t>
  </si>
  <si>
    <t>Fasādes vates iestrāde</t>
  </si>
  <si>
    <t xml:space="preserve">Dībeļi </t>
  </si>
  <si>
    <t>gb</t>
  </si>
  <si>
    <t>Cokola profils ar lāseni</t>
  </si>
  <si>
    <t>Fasādes apdare ar sietu iestrādātu līmjavas kārtā</t>
  </si>
  <si>
    <t>Ailu sānu malu apdare ar siltumizolācijas materiālu, pieslēguma logu un durvju blokam hermetizācija</t>
  </si>
  <si>
    <t>Dībeļi</t>
  </si>
  <si>
    <t>Ailu sānu malu apdare ar sietu iestrādātu līmjavas kārtā</t>
  </si>
  <si>
    <t>Stūra profils ar sieta pagarinājumu</t>
  </si>
  <si>
    <t>Ailu sānu malu dekoratīvais apmetums</t>
  </si>
  <si>
    <t>Ailu sānu malu dekoratīvais krāsojums atbilstoši krāsu pasei</t>
  </si>
  <si>
    <t xml:space="preserve">Tērauda caurule DN15 </t>
  </si>
  <si>
    <t xml:space="preserve">Tērauda caurule DN20 </t>
  </si>
  <si>
    <t>Alokators ar attālināto nolasīšanu</t>
  </si>
  <si>
    <t>Tērauda radiators, tips - ar sānu pieslēgumu, komplektā - korķis, atgaisošanas ventilis, stiprinājumi 22-500-1000</t>
  </si>
  <si>
    <t>Tērauda radiators, tips - ar sānu pieslēgumu, komplektā - korķis, atgaisošanas ventilis, stiprinājumi 22-500-400</t>
  </si>
  <si>
    <t>Tērauda radiators, tips - ar sānu pieslēgumu, komplektā - korķis, atgaisošanas ventilis, stiprinājumi 22-500-600</t>
  </si>
  <si>
    <t>Tērauda radiators, tips - ar sānu pieslēgumu, komplektā - korķis, atgaisošanas ventilis, stiprinājumi 22-500-800</t>
  </si>
  <si>
    <t>Objekta adrese:  Gaismas iela 19 k-7, Ķekava, Ķekavas pag., Ķekavas nov., LV-2123, KAD.NR.80700081265001</t>
  </si>
  <si>
    <t>Jumta seguma attīrīšana</t>
  </si>
  <si>
    <t>Tvaika izolacijas ierīkošana</t>
  </si>
  <si>
    <t>Tvaika izolācija</t>
  </si>
  <si>
    <t>Siltumizloācijas ieklāšana, pārklājot šuves, 3 . Kārtas</t>
  </si>
  <si>
    <t>Dībeļi vates stiprināšanai</t>
  </si>
  <si>
    <t>Jumta mīkstā seguma ieklāšana</t>
  </si>
  <si>
    <r>
      <t xml:space="preserve">Apakšklājs </t>
    </r>
    <r>
      <rPr>
        <u/>
        <sz val="9"/>
        <rFont val="Times New Roman"/>
        <family val="1"/>
        <charset val="186"/>
      </rPr>
      <t>&gt;</t>
    </r>
    <r>
      <rPr>
        <sz val="9"/>
        <rFont val="Times New Roman"/>
        <family val="1"/>
        <charset val="186"/>
      </rPr>
      <t xml:space="preserve"> 3,00 kg/m2</t>
    </r>
  </si>
  <si>
    <r>
      <t xml:space="preserve">Virsklājs </t>
    </r>
    <r>
      <rPr>
        <u/>
        <sz val="9"/>
        <rFont val="Times New Roman"/>
        <family val="1"/>
        <charset val="186"/>
      </rPr>
      <t>&gt;</t>
    </r>
    <r>
      <rPr>
        <sz val="9"/>
        <rFont val="Times New Roman"/>
        <family val="1"/>
        <charset val="186"/>
      </rPr>
      <t xml:space="preserve"> 4,00 kg/m2</t>
    </r>
  </si>
  <si>
    <t>Gāze</t>
  </si>
  <si>
    <t>Aeratoru montāža</t>
  </si>
  <si>
    <t>Tērauda radiators, tips - ar sānu pieslēgumu, komplektā - korķis, atgaisošanas ventilis, stiprinājumi 11-900-1000</t>
  </si>
  <si>
    <t>Automātiskais atgaisotājs DN20</t>
  </si>
  <si>
    <t>Tērauda radiators, tips - ar sānu pieslēgumu, komplektā - korķis, atgaisošanas ventilis, stiprinājumi 22-500-500</t>
  </si>
  <si>
    <t>Tērauda radiators, tips - ar sānu pieslēgumu, komplektā - korķis, atgaisošanas ventilis, stiprinājumi 22-500-700</t>
  </si>
  <si>
    <t>Tērauda radiators, tips - ar sānu pieslēgumu, komplektā - korķis, atgaisošanas ventilis, stiprinājumi 22-500-900</t>
  </si>
  <si>
    <t>Tērauda radiators, tips - ar sānu pieslēgumu, komplektā - korķis, atgaisošanas ventilis, stiprinājumi 22-500-1100</t>
  </si>
  <si>
    <t>Cauruļu veidgabali, stiprinājumi, skrūves u.c. palīgmateriāli</t>
  </si>
  <si>
    <t>Noslēgventilis RLV-S DN15</t>
  </si>
  <si>
    <t>Termostatventilis RA-G-1-S DN15</t>
  </si>
  <si>
    <t>Palodzes arējās 160mm</t>
  </si>
  <si>
    <t>Palodzes iekšējās DSP 550mm</t>
  </si>
  <si>
    <t>Ģipškartona nobeiguma līste PVC logiem</t>
  </si>
  <si>
    <t>D-1 koka durvju bloks(1000x1950)</t>
  </si>
  <si>
    <t>D-2 terauda durvju bloks EI 30 (950x2000)</t>
  </si>
  <si>
    <t>D-3 terauda durvju bloks EI 30 (950x2000)</t>
  </si>
  <si>
    <t>L-1 logu bloks (1450x1450)</t>
  </si>
  <si>
    <t>L-2 logu bloks (1500x1450)</t>
  </si>
  <si>
    <t>L-3 logu bloks (2150x1450)</t>
  </si>
  <si>
    <t>L-4 logu bloks (2150x1450)</t>
  </si>
  <si>
    <t>L-5 logu bloks ar balkona durvīm(2150x1450)</t>
  </si>
  <si>
    <t>L-6 logu bloks ar balkona durvīm(2150x1450)</t>
  </si>
  <si>
    <t>L-7 metāla reste (600x200)</t>
  </si>
  <si>
    <t>Lokālā tāme Nr. 1-7</t>
  </si>
  <si>
    <t>Pagraba griestu siltinašana</t>
  </si>
  <si>
    <t>Virsmas attīrīšana un gruntēša</t>
  </si>
  <si>
    <t>Vates iestrāde pagraba griestos</t>
  </si>
  <si>
    <t xml:space="preserve">Dekoratīvais krāsojums </t>
  </si>
  <si>
    <t>11-00000</t>
  </si>
  <si>
    <t>Bojatu stiegrojuma atjaunošana un aizdare ar remontjavu</t>
  </si>
  <si>
    <t>Antikorozijas materiāls Pagel MS02</t>
  </si>
  <si>
    <t>Betona remonta sastāvs Pagel MS20</t>
  </si>
  <si>
    <t>Jumta margu ierīkošana</t>
  </si>
  <si>
    <t>Iekšējās lietus ūdens novadšanas notekas ierīkošana</t>
  </si>
  <si>
    <t>Griestu apšuvuma demontāža</t>
  </si>
  <si>
    <t>Lāsenis</t>
  </si>
  <si>
    <t>Karnīze</t>
  </si>
  <si>
    <t>Vējamala</t>
  </si>
  <si>
    <t>Lietus ūdens novadsistēmas uzstādīšana</t>
  </si>
  <si>
    <t>notekrenes</t>
  </si>
  <si>
    <t>palīgmateriāli</t>
  </si>
  <si>
    <t>Uprofils</t>
  </si>
  <si>
    <t>Koka apšuvuma demontāža</t>
  </si>
  <si>
    <t>Koka karkasa ar siltinājumu ierīkošana</t>
  </si>
  <si>
    <t>Karkasa apšūšanas darbi</t>
  </si>
  <si>
    <t>Magnezīta loksnes 1200/2300/6mm</t>
  </si>
  <si>
    <t>Skrūves SPEC13 4,5x50 Zn</t>
  </si>
  <si>
    <t>Fasādes virsmas izlīdzināšana ar līmjavu, izdrupušo vietu remonts, izdrupuma vietu aizpildi ar javu un papildus sieta slāņa iestrādi</t>
  </si>
  <si>
    <t xml:space="preserve">Balkona margu attīrīšana no rūsas, gruntēšana, krāsošana </t>
  </si>
  <si>
    <t>Balkonu laukumu slīpuma izveide</t>
  </si>
  <si>
    <t>Balkona seguma demontāža</t>
  </si>
  <si>
    <t>Metāla restīšu ierīkošana</t>
  </si>
  <si>
    <t>Balkona seguma tīrīšana, rūpīga piesūcināšana virsmas ar ūdeni</t>
  </si>
  <si>
    <t>Balkona laukuma un griestu apstrāde ar Skrepa M600 sauso injekciju maisījumu (Penetron)</t>
  </si>
  <si>
    <t>Balkona laukuma apstrāde ar dziļi impregnējamo hidroizolācijas materiālu Penetron</t>
  </si>
  <si>
    <t>Balkona  dekoratīvais krāsojums atbilstoši krāsu pasei</t>
  </si>
  <si>
    <t>Balkona margu apšūšana ar koka dēlīšiem un to krāsošana</t>
  </si>
  <si>
    <t>Betons  C20/25</t>
  </si>
  <si>
    <t>Stiegrojuma siets 4x100x100</t>
  </si>
  <si>
    <t>Tērauda siets</t>
  </si>
  <si>
    <t>29</t>
  </si>
  <si>
    <t>30</t>
  </si>
  <si>
    <t>Lokālā tāme Nr. 2-2</t>
  </si>
  <si>
    <t>14-00000</t>
  </si>
  <si>
    <t>Plastmasas PP-R/Al Fusiotherm Stabi SDR 7.4 caurule Ø32x4.5</t>
  </si>
  <si>
    <t>Plastmasas PP-R/Al Fusiotherm Stabi SDR 7.4 caurule Ø50x6.9</t>
  </si>
  <si>
    <t>Plastmasas PP-R/Al Fusiotherm Stabi SDR 7.4 caurules veidgabali</t>
  </si>
  <si>
    <t>kompl</t>
  </si>
  <si>
    <t>Unipipe kompozītcaurule Ø20×2.25 ar veidgabaliem</t>
  </si>
  <si>
    <t>Izolācija Armacell TUBOLIT DG TL-50/9-DG, grūti degoša</t>
  </si>
  <si>
    <t>Lodveida krāns DN15</t>
  </si>
  <si>
    <t>Lodveida krāns DN40</t>
  </si>
  <si>
    <t>Cauruļvada stiprinājumi</t>
  </si>
  <si>
    <t>Ugunsdrošas putas vai hermētiķis</t>
  </si>
  <si>
    <t>Esošo cauruļvadu demontaža</t>
  </si>
  <si>
    <t>T3, T4 sistēmas</t>
  </si>
  <si>
    <t>Unipipe kompozītcaurule Ø25×2.5 ar veidgabaliem</t>
  </si>
  <si>
    <t>Izolācija Armacell TUBOLIT DG TL-22/20-DG, grūti degoša</t>
  </si>
  <si>
    <t>Izolācija Armacell TUBOLIT DG TL-35/20-DG, grūti degoša</t>
  </si>
  <si>
    <t>Lodveida krāns DN20</t>
  </si>
  <si>
    <t>Plastmasas PP-R/Al Fusiotherm Stabi SDR 7.4 caurule Ø40x5.6</t>
  </si>
  <si>
    <t>Plastmasas PP-R/Al Fusiotherm Stabi SDR 7.4 caurule Ø75x10.3</t>
  </si>
  <si>
    <t>Izolācija Armacell TUBOLIT DG TL-75/9-DG, grūti degoša</t>
  </si>
  <si>
    <t>Lodveida krāns DN32</t>
  </si>
  <si>
    <t>Lodveida krāns DN41</t>
  </si>
  <si>
    <t>Balansējošais vārsts DN15</t>
  </si>
  <si>
    <t>Izolācija Armacell TUBOLIT DG TL-28/20-DG, grūti degoša</t>
  </si>
  <si>
    <t>Izolācija Armacell TUBOLIT DG TL-40/20-DG, grūti degoša</t>
  </si>
  <si>
    <t>Pagraba griestu siltināšana</t>
  </si>
  <si>
    <t>Būves nosaukums:  Daudzdzīvokļu ēka</t>
  </si>
  <si>
    <t xml:space="preserve">Ūdensapgāde </t>
  </si>
  <si>
    <t>Ūdensapgāde</t>
  </si>
  <si>
    <t>hermētiķis Hyperseal 25 LM-S white (600 ml)</t>
  </si>
  <si>
    <t>Šuvju gruntēšana un aizpildīšana ar poliuretāna mastiku</t>
  </si>
  <si>
    <t>Microsealer-50 (0,2kg/m2)</t>
  </si>
  <si>
    <t>Šuves attīrīšana un sagatavošana, mazgāšana ar augstspiediena mazgātāju</t>
  </si>
  <si>
    <t>Jumta remonts un siltināšana</t>
  </si>
  <si>
    <t>Lokālā tāme Nr. 1-3</t>
  </si>
  <si>
    <t>Ventilācijas vārstu ierīkošana atbilstoši ražotāja montāžai</t>
  </si>
  <si>
    <t>Pašregulējošais svaiga gaisa ventilis - VTK-80</t>
  </si>
  <si>
    <t xml:space="preserve">Ārējā elpojoša logu lenta 301 </t>
  </si>
  <si>
    <t>Iekšējā tvaika izolācijas logu lenta 5301</t>
  </si>
  <si>
    <t>Siltumizolācija (siltumvadības koeficients λ ≤  0,039 W/(mK)) b=150mm</t>
  </si>
  <si>
    <t>Akmens vates apaksklajs (siltumvadības koeficients λ ≤  0,041 W/(mK)) 100mm</t>
  </si>
  <si>
    <t>Akmens vates apaksklajs (siltumvadības koeficients λ ≤  0,041 W/(mK)) 120mm</t>
  </si>
  <si>
    <t>Akmens vates virslānis (siltumvadības koeficients λ ≤  0,041 W/(mK)) 30mm</t>
  </si>
  <si>
    <t xml:space="preserve">Siltumizolācija (siltumvadības koeficients λ ≤  0,039 W/(mK)) b=30mm </t>
  </si>
  <si>
    <t>Putupolistirols (siltumvadības koeficients λ ≤  0,037 W/(mK)) b=100mm</t>
  </si>
  <si>
    <t>Veco durvju demontāža un jaunu alumīnija un tērauda durvju bloka uzstādīšana (ar Uw ≤ 1,8 W/(m2K))</t>
  </si>
  <si>
    <t>Veco logu demontāža un jaunu PVC logu bloku uzstādīšana (ar Uw ≤ 1,3 W/(m2K))</t>
  </si>
  <si>
    <t xml:space="preserve">Ārējā elpojoša durvju lenta 301 </t>
  </si>
  <si>
    <t>Iekšējā tvaika izolācijas durvju lenta 5301</t>
  </si>
  <si>
    <t>Stiprinājumi</t>
  </si>
  <si>
    <t xml:space="preserve">Siltumizolācija (siltumvadības koeficients λ ≤  0,039 W/(mK)) b=100mm </t>
  </si>
  <si>
    <t>Blīvējuma materiāls</t>
  </si>
  <si>
    <t>Automātiskais balansēšanas vārsts ar izlaides iespēju un impulsa cauruli; Dp=5-25 kPa, ASV-M DN15</t>
  </si>
  <si>
    <t>Automātiskais balansēšanas vārsts ar izlaides iespēju un impulsa cauruli; Dp=5-25 kPa, ASV-PV DN15</t>
  </si>
  <si>
    <t>Tiešās darbības radiatora termostats AR 2990 ar rūpnieciskie ierobežotu minimālo temp. 16oC vai ekvivalents (ar gāzes pildijumu)</t>
  </si>
  <si>
    <t>Tiešās darbības radiatora termostats sabiedriskām telpām AR 2920 vai ekvivalents (ar gāzes pildījumu)</t>
  </si>
  <si>
    <t>Lodveida noslēgkrāns ar iztukšošanu MSV-S vai ekvivalents DN15</t>
  </si>
  <si>
    <t>Lodveida noslēgkrāns ar iztukšošanu MSV-S vai ekvivalents DN20</t>
  </si>
  <si>
    <t>Lodveida noslēgkrāns ar iztukšošanu MSV-S vai ekvivalents DN25</t>
  </si>
  <si>
    <t>Automātiskais plūsmas regulātors un kontrolvārsts AB-QM DN15 vai ekvivalents  DN15</t>
  </si>
  <si>
    <t>Savienojumi AB-QM vai ekvivalents regulātoriem Dn15</t>
  </si>
  <si>
    <t>Izpildmehānisms AB-QM regulātoram TWA-Z vai ekvivalents</t>
  </si>
  <si>
    <t>Virsmas sensors ESMC  vai ekvivalents</t>
  </si>
  <si>
    <t>Vadības ierīce CCR3  vai ekvivalenta</t>
  </si>
  <si>
    <t>Savienojumu kārba vadības ierīcei CCR3 vai ekvivalentai</t>
  </si>
  <si>
    <t>Divdzīslu kabelis, ierīces CCR3 pieslēgšanai AB-QM regulātoriem</t>
  </si>
  <si>
    <t>Noslēgvārsts DN15</t>
  </si>
  <si>
    <t>Noslēgvārsts DN20</t>
  </si>
  <si>
    <t>Noslēgvārsts DN25</t>
  </si>
  <si>
    <t>Noslēgventilis DN50</t>
  </si>
  <si>
    <t>Noslēgventilis DN80</t>
  </si>
  <si>
    <t>Tērauda caurule DN32</t>
  </si>
  <si>
    <t>Tērauda caurule DN40</t>
  </si>
  <si>
    <t>Tērauda caurule DN50</t>
  </si>
  <si>
    <t>Tērauda caurule DN65</t>
  </si>
  <si>
    <t>Tērauda caurule DN80</t>
  </si>
  <si>
    <t>Minerālvates izolācijas čaula, ar alum. atstarojošo slāni; s=50mm 21      (λ ≤  0,045 W/(mK))</t>
  </si>
  <si>
    <t>Minerālvates izolācijas čaula, ar alum. atstarojošo slāni; s=50mm 27           (λ ≤  0,045 W/(mK))</t>
  </si>
  <si>
    <t>Minerālvates izolācijas čaula, ar alum. atstarojošo slāni; s=50mm 34               (λ ≤  0,045 W/(mK))</t>
  </si>
  <si>
    <t>Minerālvates izolācijas čaula, ar alum. atstarojošo slāni; s=50mm 42              (λ ≤  0,045 W/(mK))</t>
  </si>
  <si>
    <t>Minerālvates izolācijas čaula, ar alum. atstarojošo slāni; s=50mm 48               (λ ≤  0,045 W/(mK))</t>
  </si>
  <si>
    <t>Minerālvates izolācijas čaula, ar alum. atstarojošo slāni; s=50mm 60          (λ ≤  0,045 W/(mK))</t>
  </si>
  <si>
    <t>Minerālvates izolācijas čaula, ar alum. atstarojošo slāni; s=50mm 76        (λ ≤  0,045 W/(mK))</t>
  </si>
  <si>
    <t>Minerālvates izolācijas čaula, ar alum. atstarojošo slāni; s=50mm 89           (λ ≤  0,045 W/(mK))</t>
  </si>
  <si>
    <t>Tāme sastādīta: 2017. gada .........</t>
  </si>
  <si>
    <t>%</t>
  </si>
  <si>
    <t>Būvniecības koptāme</t>
  </si>
  <si>
    <t>Pasūtītājs:</t>
  </si>
  <si>
    <t>Nosaukums</t>
  </si>
  <si>
    <t>Reģistrācijas numurs</t>
  </si>
  <si>
    <t>Juridiskā adrese</t>
  </si>
  <si>
    <t>Būvniecīgas līguma Nr.:</t>
  </si>
  <si>
    <t>Numurs</t>
  </si>
  <si>
    <t>Izpildītājs:</t>
  </si>
  <si>
    <t>Objekts:</t>
  </si>
  <si>
    <t>Līguma summa</t>
  </si>
  <si>
    <t>Objekta adrese:</t>
  </si>
  <si>
    <t>Pilsēta/pagasts</t>
  </si>
  <si>
    <t>Novads/Republikas nozīmes pilsēta</t>
  </si>
  <si>
    <t xml:space="preserve"> Tāme sastādīta: ___________________</t>
  </si>
  <si>
    <t>Nr.p.k.</t>
  </si>
  <si>
    <t>Objekta izmaksas (EUR)</t>
  </si>
  <si>
    <t>Objekta  izmaksas</t>
  </si>
  <si>
    <t>PVN ( 21%):</t>
  </si>
  <si>
    <t>Pavisam būvniecības izmaksas:</t>
  </si>
  <si>
    <t>Izpildītāja pārstāvis:</t>
  </si>
  <si>
    <t>Vārds, Uzvārds</t>
  </si>
  <si>
    <t>Amats</t>
  </si>
  <si>
    <t>Datums</t>
  </si>
  <si>
    <t>Gaismas iela 19, k-7</t>
  </si>
  <si>
    <t>Ķekava</t>
  </si>
  <si>
    <t>Ķekavas novads</t>
  </si>
  <si>
    <t xml:space="preserve">SIA  "Ķekavas nami" </t>
  </si>
  <si>
    <t>Rāmavas iela 17, Rāmava, Ķekavas novads</t>
  </si>
  <si>
    <t>Materiālu, grunts apmaiņas un būvgružu transporta izdevumi  %</t>
  </si>
  <si>
    <t xml:space="preserve">Virsizdevumi % </t>
  </si>
  <si>
    <t xml:space="preserve">Peļņa % </t>
  </si>
  <si>
    <t>Darba devēja sociālais nodoklis %</t>
  </si>
  <si>
    <t>Darbības programmas "Izaugsme un nodarbinātība" 4.2.1. specifiskā atbalsta mērķa "Veicināt energoefektivitātes paaugstināšanu valsts un dzīvojamās ēkās" 4.2.1.1. specifiskā atbalsta mērķa pasākuma "Veicināt energoefektivitātes paaugstināšanu dzīvojamās ēkās" īstenošanas Iietvaros                                                                                              Līguma Nr.DME0000087</t>
  </si>
  <si>
    <t>Koka konstrukciju atjaunošana</t>
  </si>
  <si>
    <t>Griestu un jumta seguma apsūšana ar OSB</t>
  </si>
  <si>
    <t>Mitrumizturīgais OSB 22mm</t>
  </si>
  <si>
    <t>Skrūves finierim un OSB</t>
  </si>
  <si>
    <t>Jumta stabu attīrīšana no rūsas, gruntešana un krasošana</t>
  </si>
  <si>
    <t>iela, mājas Nr. vai nosaukums, pasta indekss</t>
  </si>
  <si>
    <t xml:space="preserve"> Kopsavilkuma aprēķins pa darbu veidiem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</si>
</sst>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* #,##0.00_-;\-* #,##0.00_-;_-* &quot;-&quot;??_-;_-@_-"/>
    <numFmt numFmtId="165" formatCode="_-* #,##0\$_-;\-* #,##0\$_-;_-* &quot;-$&quot;_-;_-@_-"/>
    <numFmt numFmtId="166" formatCode="_-* #,##0.00\$_-;\-* #,##0.00\$_-;_-* \-??\$_-;_-@_-"/>
    <numFmt numFmtId="167" formatCode="_-* #,##0.00_-;\-* #,##0.00_-;_-* \-??_-;_-@_-"/>
    <numFmt numFmtId="168" formatCode="_(* #,##0.00_);_(* \(#,##0.00\);_(* \-??_);_(@_)"/>
    <numFmt numFmtId="169" formatCode="m&quot;ont&quot;h\ d&quot;, &quot;yyyy"/>
    <numFmt numFmtId="170" formatCode="_-* #,##0_-;\-* #,##0_-;_-* \-_-;_-@_-"/>
    <numFmt numFmtId="171" formatCode="#.00"/>
    <numFmt numFmtId="172" formatCode="#."/>
    <numFmt numFmtId="173" formatCode="&quot;See Note  &quot;#"/>
    <numFmt numFmtId="174" formatCode="_-\£* #,##0_-;&quot;-£&quot;* #,##0_-;_-\£* \-_-;_-@_-"/>
    <numFmt numFmtId="175" formatCode="_-\£* #,##0.00_-;&quot;-£&quot;* #,##0.00_-;_-\£* \-??_-;_-@_-"/>
    <numFmt numFmtId="176" formatCode="_-* #,##0.00\ _L_s_-;\-* #,##0.00\ _L_s_-;_-* \-??\ _L_s_-;_-@_-"/>
    <numFmt numFmtId="177" formatCode="&quot;Ls &quot;#,##0.00"/>
    <numFmt numFmtId="178" formatCode="#,##0.0"/>
    <numFmt numFmtId="179" formatCode="0.0"/>
    <numFmt numFmtId="180" formatCode="_(* #,##0.00_);_(* \(#,##0.00\);_(* &quot;-&quot;??_);_(@_)"/>
    <numFmt numFmtId="181" formatCode="_-* #,##0.00\ _k_r_-;\-* #,##0.00\ _k_r_-;_-* &quot;-&quot;??\ _k_r_-;_-@_-"/>
    <numFmt numFmtId="182" formatCode="_-* #,##0_-;\-* #,##0_-;_-* &quot;-&quot;??_-;_-@_-"/>
    <numFmt numFmtId="183" formatCode="0.000"/>
    <numFmt numFmtId="184" formatCode="0.0000"/>
  </numFmts>
  <fonts count="78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Helv"/>
    </font>
    <font>
      <b/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58"/>
      <name val="Times New Roman"/>
      <family val="1"/>
      <charset val="186"/>
    </font>
    <font>
      <sz val="10"/>
      <color indexed="14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 Baltic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b/>
      <sz val="10"/>
      <name val="Times New Roman"/>
      <family val="1"/>
    </font>
    <font>
      <sz val="8"/>
      <name val="Times New Roman"/>
      <family val="1"/>
    </font>
    <font>
      <u/>
      <sz val="9"/>
      <name val="Times New Roman"/>
      <family val="1"/>
      <charset val="186"/>
    </font>
    <font>
      <sz val="8"/>
      <color indexed="64"/>
      <name val="Times New Roman"/>
      <family val="1"/>
      <charset val="186"/>
    </font>
    <font>
      <sz val="10"/>
      <name val="Arial"/>
      <charset val="186"/>
    </font>
    <font>
      <sz val="12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color indexed="12"/>
      <name val="Times New Roman"/>
      <family val="1"/>
      <charset val="186"/>
    </font>
    <font>
      <sz val="8"/>
      <color indexed="14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5" fontId="36" fillId="0" borderId="0" applyFill="0" applyBorder="0" applyAlignment="0" applyProtection="0"/>
    <xf numFmtId="166" fontId="36" fillId="0" borderId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8" fontId="36" fillId="0" borderId="0" applyFill="0" applyBorder="0" applyAlignment="0" applyProtection="0"/>
    <xf numFmtId="0" fontId="3" fillId="0" borderId="3">
      <alignment textRotation="90"/>
    </xf>
    <xf numFmtId="0" fontId="3" fillId="0" borderId="3">
      <alignment textRotation="90"/>
    </xf>
    <xf numFmtId="169" fontId="9" fillId="0" borderId="0">
      <protection locked="0"/>
    </xf>
    <xf numFmtId="169" fontId="10" fillId="0" borderId="0">
      <protection locked="0"/>
    </xf>
    <xf numFmtId="170" fontId="36" fillId="0" borderId="0" applyFill="0" applyBorder="0" applyAlignment="0" applyProtection="0"/>
    <xf numFmtId="167" fontId="36" fillId="0" borderId="0" applyFill="0" applyBorder="0" applyAlignment="0" applyProtection="0"/>
    <xf numFmtId="0" fontId="11" fillId="0" borderId="0" applyNumberFormat="0"/>
    <xf numFmtId="0" fontId="12" fillId="0" borderId="0" applyNumberFormat="0" applyFill="0" applyBorder="0" applyAlignment="0" applyProtection="0"/>
    <xf numFmtId="171" fontId="9" fillId="0" borderId="0">
      <protection locked="0"/>
    </xf>
    <xf numFmtId="171" fontId="10" fillId="0" borderId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72" fontId="17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8" fillId="0" borderId="0">
      <protection locked="0"/>
    </xf>
    <xf numFmtId="0" fontId="19" fillId="22" borderId="0"/>
    <xf numFmtId="0" fontId="20" fillId="23" borderId="0"/>
    <xf numFmtId="0" fontId="21" fillId="0" borderId="0"/>
    <xf numFmtId="0" fontId="23" fillId="0" borderId="0"/>
    <xf numFmtId="0" fontId="22" fillId="7" borderId="1" applyNumberFormat="0" applyAlignment="0" applyProtection="0"/>
    <xf numFmtId="0" fontId="24" fillId="0" borderId="7">
      <alignment vertical="center"/>
    </xf>
    <xf numFmtId="0" fontId="25" fillId="0" borderId="7">
      <alignment vertical="center"/>
    </xf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28" fillId="0" borderId="0"/>
    <xf numFmtId="0" fontId="38" fillId="0" borderId="0"/>
    <xf numFmtId="0" fontId="29" fillId="0" borderId="0" applyNumberFormat="0">
      <alignment horizontal="center"/>
    </xf>
    <xf numFmtId="0" fontId="30" fillId="20" borderId="9" applyNumberFormat="0" applyAlignment="0" applyProtection="0"/>
    <xf numFmtId="9" fontId="36" fillId="0" borderId="0" applyFill="0" applyBorder="0" applyAlignment="0" applyProtection="0"/>
    <xf numFmtId="0" fontId="31" fillId="0" borderId="0"/>
    <xf numFmtId="0" fontId="36" fillId="25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172" fontId="9" fillId="0" borderId="10">
      <protection locked="0"/>
    </xf>
    <xf numFmtId="173" fontId="33" fillId="0" borderId="0">
      <alignment horizontal="left"/>
    </xf>
    <xf numFmtId="174" fontId="36" fillId="0" borderId="0" applyFill="0" applyBorder="0" applyAlignment="0" applyProtection="0"/>
    <xf numFmtId="175" fontId="36" fillId="0" borderId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176" fontId="36" fillId="0" borderId="0" applyFill="0" applyBorder="0" applyAlignment="0" applyProtection="0"/>
    <xf numFmtId="0" fontId="57" fillId="0" borderId="0"/>
    <xf numFmtId="0" fontId="2" fillId="0" borderId="0"/>
    <xf numFmtId="0" fontId="2" fillId="0" borderId="0" applyNumberFormat="0" applyFill="0" applyBorder="0" applyAlignment="0" applyProtection="0"/>
    <xf numFmtId="0" fontId="60" fillId="0" borderId="0"/>
    <xf numFmtId="0" fontId="40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68" fillId="0" borderId="0"/>
  </cellStyleXfs>
  <cellXfs count="494">
    <xf numFmtId="0" fontId="0" fillId="0" borderId="0" xfId="0"/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49" fontId="39" fillId="0" borderId="11" xfId="75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right" vertical="center"/>
    </xf>
    <xf numFmtId="0" fontId="37" fillId="0" borderId="12" xfId="0" applyFont="1" applyFill="1" applyBorder="1" applyAlignment="1">
      <alignment horizontal="center" vertical="center"/>
    </xf>
    <xf numFmtId="177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4" fontId="37" fillId="0" borderId="0" xfId="0" applyNumberFormat="1" applyFont="1" applyAlignment="1">
      <alignment vertical="center"/>
    </xf>
    <xf numFmtId="3" fontId="37" fillId="0" borderId="0" xfId="0" applyNumberFormat="1" applyFont="1" applyFill="1" applyAlignment="1">
      <alignment horizontal="left" vertical="center"/>
    </xf>
    <xf numFmtId="0" fontId="37" fillId="0" borderId="13" xfId="0" applyFont="1" applyBorder="1" applyAlignment="1">
      <alignment vertical="center"/>
    </xf>
    <xf numFmtId="49" fontId="37" fillId="0" borderId="13" xfId="0" applyNumberFormat="1" applyFont="1" applyBorder="1" applyAlignment="1">
      <alignment horizontal="center" vertical="center" wrapText="1"/>
    </xf>
    <xf numFmtId="0" fontId="37" fillId="0" borderId="13" xfId="0" applyFont="1" applyBorder="1" applyAlignment="1">
      <alignment vertical="center" wrapText="1"/>
    </xf>
    <xf numFmtId="4" fontId="37" fillId="0" borderId="13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right" vertical="center"/>
    </xf>
    <xf numFmtId="4" fontId="37" fillId="0" borderId="13" xfId="0" applyNumberFormat="1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4" fontId="39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42" fillId="0" borderId="0" xfId="0" applyFont="1" applyFill="1" applyAlignment="1">
      <alignment vertical="center"/>
    </xf>
    <xf numFmtId="179" fontId="42" fillId="0" borderId="0" xfId="75" applyNumberFormat="1" applyFont="1" applyFill="1" applyBorder="1" applyAlignment="1">
      <alignment horizontal="center" vertical="center"/>
    </xf>
    <xf numFmtId="179" fontId="42" fillId="0" borderId="0" xfId="75" applyNumberFormat="1" applyFont="1" applyBorder="1" applyAlignment="1">
      <alignment vertical="center"/>
    </xf>
    <xf numFmtId="179" fontId="44" fillId="0" borderId="0" xfId="75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Border="1" applyAlignment="1">
      <alignment vertical="center" wrapText="1"/>
    </xf>
    <xf numFmtId="179" fontId="42" fillId="0" borderId="0" xfId="75" applyNumberFormat="1" applyFont="1" applyFill="1" applyBorder="1" applyAlignment="1">
      <alignment horizontal="left" vertical="center"/>
    </xf>
    <xf numFmtId="179" fontId="42" fillId="0" borderId="0" xfId="75" applyNumberFormat="1" applyFont="1" applyFill="1" applyBorder="1" applyAlignment="1">
      <alignment vertical="center"/>
    </xf>
    <xf numFmtId="49" fontId="45" fillId="0" borderId="0" xfId="75" applyNumberFormat="1" applyFont="1" applyBorder="1" applyAlignment="1">
      <alignment vertical="center"/>
    </xf>
    <xf numFmtId="179" fontId="42" fillId="0" borderId="0" xfId="75" applyNumberFormat="1" applyFont="1" applyBorder="1" applyAlignment="1">
      <alignment vertical="center" wrapText="1"/>
    </xf>
    <xf numFmtId="179" fontId="42" fillId="0" borderId="0" xfId="75" applyNumberFormat="1" applyFont="1" applyBorder="1" applyAlignment="1">
      <alignment horizontal="center" vertical="center"/>
    </xf>
    <xf numFmtId="2" fontId="42" fillId="0" borderId="0" xfId="75" applyNumberFormat="1" applyFont="1" applyBorder="1" applyAlignment="1">
      <alignment horizontal="center" vertical="center"/>
    </xf>
    <xf numFmtId="179" fontId="42" fillId="0" borderId="0" xfId="75" applyNumberFormat="1" applyFont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0" fontId="42" fillId="0" borderId="0" xfId="75" applyFont="1" applyFill="1" applyBorder="1" applyAlignment="1">
      <alignment horizontal="left" vertical="center"/>
    </xf>
    <xf numFmtId="0" fontId="42" fillId="0" borderId="0" xfId="75" applyFont="1" applyFill="1" applyBorder="1" applyAlignment="1">
      <alignment horizontal="center" vertical="center"/>
    </xf>
    <xf numFmtId="49" fontId="45" fillId="0" borderId="0" xfId="75" applyNumberFormat="1" applyFont="1" applyBorder="1" applyAlignment="1">
      <alignment horizontal="center" vertical="center"/>
    </xf>
    <xf numFmtId="179" fontId="42" fillId="0" borderId="0" xfId="75" applyNumberFormat="1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179" fontId="45" fillId="0" borderId="18" xfId="75" applyNumberFormat="1" applyFont="1" applyFill="1" applyBorder="1" applyAlignment="1">
      <alignment horizontal="left" vertical="center" wrapText="1"/>
    </xf>
    <xf numFmtId="1" fontId="42" fillId="0" borderId="12" xfId="75" applyNumberFormat="1" applyFont="1" applyFill="1" applyBorder="1" applyAlignment="1">
      <alignment horizontal="center" vertical="center" wrapText="1"/>
    </xf>
    <xf numFmtId="0" fontId="46" fillId="0" borderId="12" xfId="0" applyNumberFormat="1" applyFont="1" applyFill="1" applyBorder="1" applyAlignment="1" applyProtection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2" fontId="42" fillId="0" borderId="12" xfId="75" applyNumberFormat="1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vertical="center" wrapText="1"/>
    </xf>
    <xf numFmtId="4" fontId="42" fillId="0" borderId="12" xfId="0" applyNumberFormat="1" applyFont="1" applyFill="1" applyBorder="1" applyAlignment="1">
      <alignment vertical="center" wrapText="1"/>
    </xf>
    <xf numFmtId="2" fontId="42" fillId="0" borderId="12" xfId="75" applyNumberFormat="1" applyFont="1" applyFill="1" applyBorder="1" applyAlignment="1">
      <alignment vertical="center" wrapText="1"/>
    </xf>
    <xf numFmtId="0" fontId="46" fillId="0" borderId="16" xfId="0" applyNumberFormat="1" applyFont="1" applyFill="1" applyBorder="1" applyAlignment="1" applyProtection="1">
      <alignment vertical="center" wrapText="1"/>
    </xf>
    <xf numFmtId="0" fontId="47" fillId="0" borderId="16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6" fillId="0" borderId="17" xfId="0" applyNumberFormat="1" applyFont="1" applyFill="1" applyBorder="1" applyAlignment="1" applyProtection="1">
      <alignment vertical="center" wrapText="1"/>
    </xf>
    <xf numFmtId="4" fontId="50" fillId="0" borderId="18" xfId="0" applyNumberFormat="1" applyFont="1" applyFill="1" applyBorder="1" applyAlignment="1">
      <alignment horizontal="right" vertical="center" wrapText="1"/>
    </xf>
    <xf numFmtId="4" fontId="42" fillId="0" borderId="18" xfId="0" applyNumberFormat="1" applyFont="1" applyFill="1" applyBorder="1" applyAlignment="1">
      <alignment horizontal="right" vertical="center" wrapText="1"/>
    </xf>
    <xf numFmtId="49" fontId="45" fillId="0" borderId="19" xfId="75" applyNumberFormat="1" applyFont="1" applyFill="1" applyBorder="1" applyAlignment="1">
      <alignment horizontal="center" vertical="center" wrapText="1"/>
    </xf>
    <xf numFmtId="179" fontId="45" fillId="0" borderId="20" xfId="75" applyNumberFormat="1" applyFont="1" applyFill="1" applyBorder="1" applyAlignment="1">
      <alignment horizontal="right" vertical="center" wrapText="1"/>
    </xf>
    <xf numFmtId="179" fontId="45" fillId="0" borderId="20" xfId="75" applyNumberFormat="1" applyFont="1" applyFill="1" applyBorder="1" applyAlignment="1">
      <alignment horizontal="center" vertical="center"/>
    </xf>
    <xf numFmtId="2" fontId="45" fillId="0" borderId="20" xfId="75" applyNumberFormat="1" applyFont="1" applyFill="1" applyBorder="1" applyAlignment="1">
      <alignment horizontal="center" vertical="center"/>
    </xf>
    <xf numFmtId="4" fontId="45" fillId="0" borderId="20" xfId="75" applyNumberFormat="1" applyFont="1" applyFill="1" applyBorder="1" applyAlignment="1">
      <alignment horizontal="right" vertical="center"/>
    </xf>
    <xf numFmtId="179" fontId="45" fillId="0" borderId="0" xfId="75" applyNumberFormat="1" applyFont="1" applyFill="1" applyBorder="1" applyAlignment="1">
      <alignment vertical="center"/>
    </xf>
    <xf numFmtId="49" fontId="42" fillId="0" borderId="0" xfId="75" applyNumberFormat="1" applyFont="1" applyBorder="1" applyAlignment="1">
      <alignment vertical="center" wrapText="1"/>
    </xf>
    <xf numFmtId="179" fontId="42" fillId="0" borderId="0" xfId="75" applyNumberFormat="1" applyFont="1" applyFill="1" applyBorder="1" applyAlignment="1">
      <alignment horizontal="right" vertical="center"/>
    </xf>
    <xf numFmtId="10" fontId="42" fillId="26" borderId="0" xfId="75" applyNumberFormat="1" applyFont="1" applyFill="1" applyBorder="1" applyAlignment="1">
      <alignment horizontal="center" vertical="center"/>
    </xf>
    <xf numFmtId="179" fontId="45" fillId="0" borderId="0" xfId="75" applyNumberFormat="1" applyFont="1" applyBorder="1" applyAlignment="1">
      <alignment vertical="center" wrapText="1"/>
    </xf>
    <xf numFmtId="179" fontId="45" fillId="0" borderId="0" xfId="75" applyNumberFormat="1" applyFont="1" applyBorder="1" applyAlignment="1">
      <alignment horizontal="right" vertical="center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right" vertical="center"/>
    </xf>
    <xf numFmtId="0" fontId="42" fillId="0" borderId="15" xfId="0" applyFont="1" applyFill="1" applyBorder="1" applyAlignment="1">
      <alignment horizontal="right" vertical="center"/>
    </xf>
    <xf numFmtId="2" fontId="42" fillId="0" borderId="0" xfId="0" applyNumberFormat="1" applyFont="1" applyFill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1" fontId="42" fillId="0" borderId="16" xfId="75" applyNumberFormat="1" applyFont="1" applyFill="1" applyBorder="1" applyAlignment="1">
      <alignment horizontal="center" vertical="center" wrapText="1"/>
    </xf>
    <xf numFmtId="2" fontId="42" fillId="0" borderId="16" xfId="75" applyNumberFormat="1" applyFont="1" applyFill="1" applyBorder="1" applyAlignment="1">
      <alignment horizontal="center" vertical="center"/>
    </xf>
    <xf numFmtId="1" fontId="42" fillId="0" borderId="12" xfId="0" applyNumberFormat="1" applyFont="1" applyFill="1" applyBorder="1" applyAlignment="1">
      <alignment horizontal="center" vertical="center"/>
    </xf>
    <xf numFmtId="178" fontId="42" fillId="0" borderId="0" xfId="75" applyNumberFormat="1" applyFont="1" applyBorder="1" applyAlignment="1">
      <alignment vertical="center" wrapText="1"/>
    </xf>
    <xf numFmtId="4" fontId="42" fillId="0" borderId="18" xfId="75" applyNumberFormat="1" applyFont="1" applyBorder="1" applyAlignment="1">
      <alignment horizontal="right" vertical="center"/>
    </xf>
    <xf numFmtId="4" fontId="42" fillId="0" borderId="0" xfId="0" applyNumberFormat="1" applyFont="1" applyAlignment="1">
      <alignment vertical="center"/>
    </xf>
    <xf numFmtId="1" fontId="42" fillId="0" borderId="18" xfId="75" applyNumberFormat="1" applyFont="1" applyBorder="1" applyAlignment="1">
      <alignment horizontal="center" vertical="center"/>
    </xf>
    <xf numFmtId="4" fontId="42" fillId="0" borderId="0" xfId="0" applyNumberFormat="1" applyFont="1" applyFill="1" applyAlignment="1">
      <alignment vertical="center"/>
    </xf>
    <xf numFmtId="0" fontId="35" fillId="0" borderId="0" xfId="0" applyFont="1" applyAlignment="1">
      <alignment vertical="center"/>
    </xf>
    <xf numFmtId="49" fontId="42" fillId="0" borderId="12" xfId="75" applyNumberFormat="1" applyFont="1" applyFill="1" applyBorder="1" applyAlignment="1">
      <alignment horizontal="center" vertical="center" wrapText="1"/>
    </xf>
    <xf numFmtId="179" fontId="37" fillId="0" borderId="23" xfId="75" applyNumberFormat="1" applyFont="1" applyFill="1" applyBorder="1" applyAlignment="1">
      <alignment horizontal="center" vertical="center" wrapText="1"/>
    </xf>
    <xf numFmtId="179" fontId="37" fillId="0" borderId="21" xfId="75" applyNumberFormat="1" applyFont="1" applyFill="1" applyBorder="1" applyAlignment="1">
      <alignment horizontal="center" vertical="center" wrapText="1"/>
    </xf>
    <xf numFmtId="179" fontId="37" fillId="0" borderId="22" xfId="75" applyNumberFormat="1" applyFont="1" applyFill="1" applyBorder="1" applyAlignment="1">
      <alignment horizontal="center" vertical="center" wrapText="1"/>
    </xf>
    <xf numFmtId="179" fontId="37" fillId="0" borderId="24" xfId="75" applyNumberFormat="1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 applyProtection="1">
      <alignment vertical="center" wrapText="1"/>
    </xf>
    <xf numFmtId="0" fontId="42" fillId="0" borderId="16" xfId="0" applyNumberFormat="1" applyFont="1" applyFill="1" applyBorder="1" applyAlignment="1" applyProtection="1">
      <alignment vertical="center" wrapText="1"/>
    </xf>
    <xf numFmtId="0" fontId="53" fillId="0" borderId="16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1" fontId="53" fillId="0" borderId="12" xfId="0" applyNumberFormat="1" applyFont="1" applyFill="1" applyBorder="1" applyAlignment="1">
      <alignment horizontal="center" vertical="center"/>
    </xf>
    <xf numFmtId="1" fontId="42" fillId="0" borderId="17" xfId="75" applyNumberFormat="1" applyFont="1" applyFill="1" applyBorder="1" applyAlignment="1">
      <alignment horizontal="center" vertical="center" wrapText="1"/>
    </xf>
    <xf numFmtId="2" fontId="42" fillId="0" borderId="17" xfId="75" applyNumberFormat="1" applyFont="1" applyFill="1" applyBorder="1" applyAlignment="1">
      <alignment horizontal="center" vertical="center"/>
    </xf>
    <xf numFmtId="0" fontId="37" fillId="0" borderId="25" xfId="0" applyFont="1" applyBorder="1" applyAlignment="1">
      <alignment vertical="center" wrapText="1"/>
    </xf>
    <xf numFmtId="4" fontId="37" fillId="0" borderId="25" xfId="0" applyNumberFormat="1" applyFont="1" applyBorder="1" applyAlignment="1">
      <alignment horizontal="center" vertical="center"/>
    </xf>
    <xf numFmtId="49" fontId="37" fillId="0" borderId="25" xfId="0" applyNumberFormat="1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/>
    </xf>
    <xf numFmtId="4" fontId="53" fillId="0" borderId="0" xfId="0" applyNumberFormat="1" applyFont="1" applyFill="1" applyBorder="1" applyAlignment="1">
      <alignment vertical="center"/>
    </xf>
    <xf numFmtId="4" fontId="45" fillId="0" borderId="0" xfId="75" applyNumberFormat="1" applyFont="1" applyFill="1" applyBorder="1" applyAlignment="1">
      <alignment vertical="center"/>
    </xf>
    <xf numFmtId="4" fontId="42" fillId="0" borderId="0" xfId="0" applyNumberFormat="1" applyFont="1" applyBorder="1" applyAlignment="1">
      <alignment vertical="center" wrapText="1"/>
    </xf>
    <xf numFmtId="0" fontId="54" fillId="0" borderId="0" xfId="0" applyFont="1" applyFill="1" applyAlignment="1">
      <alignment horizontal="left" vertical="center"/>
    </xf>
    <xf numFmtId="0" fontId="55" fillId="0" borderId="0" xfId="0" applyFont="1"/>
    <xf numFmtId="179" fontId="42" fillId="0" borderId="0" xfId="75" applyNumberFormat="1" applyFont="1" applyFill="1" applyBorder="1" applyAlignment="1">
      <alignment horizontal="center" vertical="center"/>
    </xf>
    <xf numFmtId="179" fontId="42" fillId="0" borderId="0" xfId="75" applyNumberFormat="1" applyFont="1" applyFill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0" fontId="56" fillId="0" borderId="13" xfId="69" applyFont="1" applyFill="1" applyBorder="1" applyAlignment="1">
      <alignment wrapText="1"/>
    </xf>
    <xf numFmtId="0" fontId="56" fillId="0" borderId="13" xfId="69" applyFont="1" applyFill="1" applyBorder="1" applyAlignment="1">
      <alignment horizontal="center" vertical="center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/>
    </xf>
    <xf numFmtId="0" fontId="42" fillId="0" borderId="12" xfId="0" applyFont="1" applyBorder="1" applyAlignment="1">
      <alignment horizontal="left" vertical="center" wrapText="1"/>
    </xf>
    <xf numFmtId="3" fontId="42" fillId="0" borderId="12" xfId="0" applyNumberFormat="1" applyFont="1" applyBorder="1" applyAlignment="1">
      <alignment horizontal="center" vertical="center"/>
    </xf>
    <xf numFmtId="1" fontId="42" fillId="0" borderId="12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center"/>
    </xf>
    <xf numFmtId="0" fontId="42" fillId="0" borderId="12" xfId="0" applyFont="1" applyBorder="1" applyAlignment="1">
      <alignment horizontal="justify" vertical="center"/>
    </xf>
    <xf numFmtId="0" fontId="51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0" fontId="42" fillId="0" borderId="12" xfId="0" applyFont="1" applyFill="1" applyBorder="1" applyAlignment="1">
      <alignment horizontal="center"/>
    </xf>
    <xf numFmtId="3" fontId="42" fillId="0" borderId="12" xfId="0" applyNumberFormat="1" applyFont="1" applyFill="1" applyBorder="1" applyAlignment="1">
      <alignment horizontal="center" vertical="center"/>
    </xf>
    <xf numFmtId="179" fontId="42" fillId="0" borderId="0" xfId="75" applyNumberFormat="1" applyFont="1" applyFill="1" applyBorder="1" applyAlignment="1">
      <alignment horizontal="center" vertical="center"/>
    </xf>
    <xf numFmtId="179" fontId="42" fillId="0" borderId="0" xfId="75" applyNumberFormat="1" applyFont="1" applyFill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1" fontId="42" fillId="0" borderId="16" xfId="75" applyNumberFormat="1" applyFont="1" applyFill="1" applyBorder="1" applyAlignment="1">
      <alignment horizontal="center" vertical="center"/>
    </xf>
    <xf numFmtId="4" fontId="42" fillId="0" borderId="0" xfId="75" applyNumberFormat="1" applyFont="1" applyFill="1" applyBorder="1" applyAlignment="1">
      <alignment vertical="center"/>
    </xf>
    <xf numFmtId="0" fontId="42" fillId="0" borderId="12" xfId="0" applyNumberFormat="1" applyFont="1" applyFill="1" applyBorder="1" applyAlignment="1" applyProtection="1">
      <alignment vertical="center"/>
    </xf>
    <xf numFmtId="179" fontId="45" fillId="0" borderId="12" xfId="75" applyNumberFormat="1" applyFont="1" applyFill="1" applyBorder="1" applyAlignment="1">
      <alignment horizontal="left" vertical="center" wrapText="1"/>
    </xf>
    <xf numFmtId="0" fontId="45" fillId="0" borderId="16" xfId="0" applyNumberFormat="1" applyFont="1" applyFill="1" applyBorder="1" applyAlignment="1" applyProtection="1">
      <alignment vertical="center" wrapText="1"/>
    </xf>
    <xf numFmtId="1" fontId="47" fillId="0" borderId="12" xfId="0" applyNumberFormat="1" applyFont="1" applyFill="1" applyBorder="1" applyAlignment="1">
      <alignment horizontal="center" vertical="center"/>
    </xf>
    <xf numFmtId="2" fontId="47" fillId="0" borderId="18" xfId="0" applyNumberFormat="1" applyFont="1" applyFill="1" applyBorder="1" applyAlignment="1">
      <alignment horizontal="center" vertical="center"/>
    </xf>
    <xf numFmtId="2" fontId="42" fillId="0" borderId="12" xfId="0" applyNumberFormat="1" applyFont="1" applyFill="1" applyBorder="1" applyAlignment="1">
      <alignment horizontal="center" vertical="center"/>
    </xf>
    <xf numFmtId="2" fontId="42" fillId="0" borderId="16" xfId="0" applyNumberFormat="1" applyFont="1" applyFill="1" applyBorder="1" applyAlignment="1">
      <alignment horizontal="center" vertical="center"/>
    </xf>
    <xf numFmtId="2" fontId="42" fillId="0" borderId="18" xfId="0" applyNumberFormat="1" applyFont="1" applyBorder="1" applyAlignment="1">
      <alignment horizontal="center" vertical="center"/>
    </xf>
    <xf numFmtId="49" fontId="61" fillId="0" borderId="12" xfId="75" applyNumberFormat="1" applyFont="1" applyFill="1" applyBorder="1" applyAlignment="1">
      <alignment horizontal="center" vertical="center" wrapText="1"/>
    </xf>
    <xf numFmtId="2" fontId="61" fillId="0" borderId="12" xfId="0" applyNumberFormat="1" applyFont="1" applyFill="1" applyBorder="1" applyAlignment="1">
      <alignment horizontal="center" vertical="center"/>
    </xf>
    <xf numFmtId="0" fontId="61" fillId="0" borderId="12" xfId="0" applyNumberFormat="1" applyFont="1" applyFill="1" applyBorder="1" applyAlignment="1" applyProtection="1">
      <alignment vertical="center" wrapText="1"/>
    </xf>
    <xf numFmtId="2" fontId="61" fillId="0" borderId="16" xfId="0" applyNumberFormat="1" applyFont="1" applyFill="1" applyBorder="1" applyAlignment="1">
      <alignment horizontal="center" vertical="center"/>
    </xf>
    <xf numFmtId="2" fontId="53" fillId="0" borderId="12" xfId="0" applyNumberFormat="1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2" fontId="42" fillId="0" borderId="12" xfId="0" applyNumberFormat="1" applyFont="1" applyBorder="1" applyAlignment="1">
      <alignment horizontal="center" vertical="center"/>
    </xf>
    <xf numFmtId="0" fontId="42" fillId="0" borderId="18" xfId="0" applyFont="1" applyBorder="1" applyAlignment="1">
      <alignment vertical="center" wrapText="1"/>
    </xf>
    <xf numFmtId="0" fontId="41" fillId="0" borderId="25" xfId="0" applyFont="1" applyBorder="1" applyAlignment="1">
      <alignment horizontal="center" vertical="center"/>
    </xf>
    <xf numFmtId="0" fontId="37" fillId="0" borderId="45" xfId="0" applyFont="1" applyBorder="1" applyAlignment="1">
      <alignment vertical="center"/>
    </xf>
    <xf numFmtId="0" fontId="37" fillId="0" borderId="46" xfId="0" applyFont="1" applyBorder="1" applyAlignment="1">
      <alignment vertical="center"/>
    </xf>
    <xf numFmtId="0" fontId="37" fillId="0" borderId="46" xfId="0" applyFont="1" applyBorder="1" applyAlignment="1">
      <alignment horizontal="right" vertical="center"/>
    </xf>
    <xf numFmtId="4" fontId="39" fillId="0" borderId="46" xfId="0" applyNumberFormat="1" applyFont="1" applyBorder="1" applyAlignment="1">
      <alignment horizontal="center" vertical="center"/>
    </xf>
    <xf numFmtId="0" fontId="37" fillId="0" borderId="48" xfId="0" applyFont="1" applyBorder="1" applyAlignment="1">
      <alignment vertical="center"/>
    </xf>
    <xf numFmtId="4" fontId="37" fillId="0" borderId="49" xfId="0" applyNumberFormat="1" applyFont="1" applyBorder="1" applyAlignment="1">
      <alignment vertical="center"/>
    </xf>
    <xf numFmtId="0" fontId="37" fillId="0" borderId="50" xfId="0" applyFont="1" applyBorder="1" applyAlignment="1">
      <alignment vertical="center"/>
    </xf>
    <xf numFmtId="0" fontId="37" fillId="0" borderId="51" xfId="0" applyFont="1" applyBorder="1" applyAlignment="1">
      <alignment vertical="center"/>
    </xf>
    <xf numFmtId="0" fontId="37" fillId="0" borderId="51" xfId="0" applyFont="1" applyBorder="1" applyAlignment="1">
      <alignment horizontal="right" vertical="center"/>
    </xf>
    <xf numFmtId="4" fontId="37" fillId="0" borderId="51" xfId="0" applyNumberFormat="1" applyFont="1" applyBorder="1" applyAlignment="1">
      <alignment horizontal="center" vertical="center"/>
    </xf>
    <xf numFmtId="4" fontId="37" fillId="0" borderId="51" xfId="0" applyNumberFormat="1" applyFont="1" applyBorder="1" applyAlignment="1">
      <alignment vertical="center"/>
    </xf>
    <xf numFmtId="4" fontId="37" fillId="0" borderId="52" xfId="0" applyNumberFormat="1" applyFont="1" applyBorder="1" applyAlignment="1">
      <alignment vertical="center"/>
    </xf>
    <xf numFmtId="0" fontId="37" fillId="0" borderId="48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19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9" fillId="0" borderId="20" xfId="0" applyFont="1" applyBorder="1" applyAlignment="1">
      <alignment horizontal="right" vertical="center"/>
    </xf>
    <xf numFmtId="4" fontId="37" fillId="0" borderId="20" xfId="0" applyNumberFormat="1" applyFont="1" applyBorder="1" applyAlignment="1">
      <alignment horizontal="center" vertical="center"/>
    </xf>
    <xf numFmtId="4" fontId="37" fillId="0" borderId="20" xfId="0" applyNumberFormat="1" applyFont="1" applyBorder="1" applyAlignment="1">
      <alignment vertical="center"/>
    </xf>
    <xf numFmtId="4" fontId="37" fillId="0" borderId="55" xfId="0" applyNumberFormat="1" applyFont="1" applyBorder="1" applyAlignment="1">
      <alignment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49" fontId="37" fillId="0" borderId="44" xfId="0" applyNumberFormat="1" applyFont="1" applyBorder="1" applyAlignment="1">
      <alignment horizontal="center" vertical="center" wrapText="1"/>
    </xf>
    <xf numFmtId="4" fontId="37" fillId="0" borderId="44" xfId="0" applyNumberFormat="1" applyFont="1" applyBorder="1" applyAlignment="1">
      <alignment horizontal="center" vertical="center"/>
    </xf>
    <xf numFmtId="49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4" fontId="37" fillId="0" borderId="12" xfId="0" applyNumberFormat="1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179" fontId="42" fillId="0" borderId="0" xfId="75" applyNumberFormat="1" applyFont="1" applyFill="1" applyBorder="1" applyAlignment="1">
      <alignment horizontal="center" vertical="center"/>
    </xf>
    <xf numFmtId="179" fontId="42" fillId="0" borderId="0" xfId="75" applyNumberFormat="1" applyFont="1" applyFill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0" fontId="42" fillId="0" borderId="18" xfId="0" applyNumberFormat="1" applyFont="1" applyFill="1" applyBorder="1" applyAlignment="1" applyProtection="1">
      <alignment vertical="center" wrapText="1"/>
    </xf>
    <xf numFmtId="179" fontId="42" fillId="0" borderId="0" xfId="75" applyNumberFormat="1" applyFont="1" applyFill="1" applyBorder="1" applyAlignment="1">
      <alignment horizontal="center" vertical="center"/>
    </xf>
    <xf numFmtId="179" fontId="42" fillId="0" borderId="0" xfId="75" applyNumberFormat="1" applyFont="1" applyFill="1" applyBorder="1" applyAlignment="1">
      <alignment horizontal="left" vertical="center"/>
    </xf>
    <xf numFmtId="2" fontId="45" fillId="0" borderId="0" xfId="75" applyNumberFormat="1" applyFont="1" applyFill="1" applyBorder="1" applyAlignment="1">
      <alignment horizontal="left" vertical="center"/>
    </xf>
    <xf numFmtId="2" fontId="61" fillId="0" borderId="13" xfId="92" applyNumberFormat="1" applyFont="1" applyFill="1" applyBorder="1" applyAlignment="1">
      <alignment horizontal="center"/>
    </xf>
    <xf numFmtId="2" fontId="61" fillId="0" borderId="13" xfId="0" applyNumberFormat="1" applyFont="1" applyFill="1" applyBorder="1" applyAlignment="1">
      <alignment horizontal="center"/>
    </xf>
    <xf numFmtId="179" fontId="42" fillId="0" borderId="0" xfId="75" applyNumberFormat="1" applyFont="1" applyFill="1" applyBorder="1" applyAlignment="1">
      <alignment horizontal="center" vertical="center"/>
    </xf>
    <xf numFmtId="2" fontId="42" fillId="0" borderId="0" xfId="0" applyNumberFormat="1" applyFont="1" applyFill="1" applyAlignment="1">
      <alignment horizontal="center" vertical="center"/>
    </xf>
    <xf numFmtId="2" fontId="55" fillId="0" borderId="14" xfId="92" applyNumberFormat="1" applyFont="1" applyFill="1" applyBorder="1" applyAlignment="1">
      <alignment horizontal="center"/>
    </xf>
    <xf numFmtId="2" fontId="42" fillId="0" borderId="13" xfId="0" applyNumberFormat="1" applyFont="1" applyFill="1" applyBorder="1" applyAlignment="1">
      <alignment horizontal="center"/>
    </xf>
    <xf numFmtId="2" fontId="42" fillId="0" borderId="13" xfId="92" applyNumberFormat="1" applyFont="1" applyFill="1" applyBorder="1" applyAlignment="1">
      <alignment horizontal="center"/>
    </xf>
    <xf numFmtId="2" fontId="42" fillId="0" borderId="25" xfId="0" applyNumberFormat="1" applyFont="1" applyFill="1" applyBorder="1" applyAlignment="1">
      <alignment horizontal="center"/>
    </xf>
    <xf numFmtId="2" fontId="37" fillId="0" borderId="18" xfId="0" applyNumberFormat="1" applyFont="1" applyFill="1" applyBorder="1" applyAlignment="1">
      <alignment horizontal="center" vertical="center"/>
    </xf>
    <xf numFmtId="2" fontId="42" fillId="0" borderId="18" xfId="75" applyNumberFormat="1" applyFont="1" applyFill="1" applyBorder="1" applyAlignment="1">
      <alignment horizontal="center" vertical="center"/>
    </xf>
    <xf numFmtId="2" fontId="42" fillId="0" borderId="13" xfId="69" applyNumberFormat="1" applyFont="1" applyFill="1" applyBorder="1" applyAlignment="1">
      <alignment horizontal="center" vertical="center" wrapText="1"/>
    </xf>
    <xf numFmtId="179" fontId="42" fillId="0" borderId="0" xfId="75" applyNumberFormat="1" applyFont="1" applyFill="1" applyBorder="1" applyAlignment="1">
      <alignment horizontal="center" vertical="center"/>
    </xf>
    <xf numFmtId="2" fontId="45" fillId="0" borderId="0" xfId="75" applyNumberFormat="1" applyFont="1" applyFill="1" applyBorder="1" applyAlignment="1">
      <alignment horizontal="left" vertical="center"/>
    </xf>
    <xf numFmtId="179" fontId="42" fillId="0" borderId="0" xfId="75" applyNumberFormat="1" applyFont="1" applyFill="1" applyBorder="1" applyAlignment="1">
      <alignment horizontal="left" vertical="center"/>
    </xf>
    <xf numFmtId="0" fontId="56" fillId="28" borderId="12" xfId="0" applyNumberFormat="1" applyFont="1" applyFill="1" applyBorder="1" applyAlignment="1">
      <alignment horizontal="left" vertical="center" wrapText="1"/>
    </xf>
    <xf numFmtId="0" fontId="56" fillId="28" borderId="12" xfId="0" applyNumberFormat="1" applyFont="1" applyFill="1" applyBorder="1" applyAlignment="1">
      <alignment horizontal="center" vertical="center" wrapText="1"/>
    </xf>
    <xf numFmtId="1" fontId="62" fillId="28" borderId="12" xfId="0" applyNumberFormat="1" applyFont="1" applyFill="1" applyBorder="1" applyAlignment="1">
      <alignment horizontal="center" vertical="center" wrapText="1"/>
    </xf>
    <xf numFmtId="1" fontId="61" fillId="28" borderId="12" xfId="0" applyNumberFormat="1" applyFont="1" applyFill="1" applyBorder="1" applyAlignment="1">
      <alignment horizontal="center" vertical="center" wrapText="1"/>
    </xf>
    <xf numFmtId="1" fontId="62" fillId="28" borderId="12" xfId="0" applyNumberFormat="1" applyFont="1" applyFill="1" applyBorder="1" applyAlignment="1">
      <alignment horizontal="center" vertical="top" wrapText="1"/>
    </xf>
    <xf numFmtId="0" fontId="42" fillId="28" borderId="12" xfId="0" applyNumberFormat="1" applyFont="1" applyFill="1" applyBorder="1" applyAlignment="1">
      <alignment vertical="center" wrapText="1"/>
    </xf>
    <xf numFmtId="1" fontId="62" fillId="0" borderId="12" xfId="0" applyNumberFormat="1" applyFont="1" applyFill="1" applyBorder="1" applyAlignment="1">
      <alignment horizontal="center" vertical="top" wrapText="1"/>
    </xf>
    <xf numFmtId="0" fontId="42" fillId="0" borderId="12" xfId="0" applyNumberFormat="1" applyFont="1" applyFill="1" applyBorder="1" applyAlignment="1">
      <alignment wrapText="1"/>
    </xf>
    <xf numFmtId="0" fontId="45" fillId="0" borderId="12" xfId="0" applyFont="1" applyBorder="1" applyAlignment="1">
      <alignment horizontal="center" vertical="center" wrapText="1"/>
    </xf>
    <xf numFmtId="0" fontId="61" fillId="28" borderId="12" xfId="0" applyNumberFormat="1" applyFont="1" applyFill="1" applyBorder="1" applyAlignment="1">
      <alignment horizontal="left" vertical="center" wrapText="1"/>
    </xf>
    <xf numFmtId="0" fontId="37" fillId="28" borderId="12" xfId="0" applyNumberFormat="1" applyFont="1" applyFill="1" applyBorder="1" applyAlignment="1">
      <alignment horizontal="center" vertical="center" wrapText="1"/>
    </xf>
    <xf numFmtId="0" fontId="62" fillId="28" borderId="12" xfId="0" applyNumberFormat="1" applyFont="1" applyFill="1" applyBorder="1" applyAlignment="1">
      <alignment horizontal="left" vertical="center" wrapText="1"/>
    </xf>
    <xf numFmtId="0" fontId="52" fillId="28" borderId="12" xfId="0" applyNumberFormat="1" applyFont="1" applyFill="1" applyBorder="1" applyAlignment="1">
      <alignment horizontal="center" vertical="center" wrapText="1"/>
    </xf>
    <xf numFmtId="0" fontId="42" fillId="0" borderId="12" xfId="0" applyNumberFormat="1" applyFont="1" applyFill="1" applyBorder="1" applyAlignment="1">
      <alignment vertical="center" wrapText="1"/>
    </xf>
    <xf numFmtId="0" fontId="52" fillId="0" borderId="12" xfId="0" applyNumberFormat="1" applyFont="1" applyFill="1" applyBorder="1" applyAlignment="1">
      <alignment horizontal="center" vertical="top" wrapText="1"/>
    </xf>
    <xf numFmtId="0" fontId="52" fillId="28" borderId="12" xfId="0" applyNumberFormat="1" applyFont="1" applyFill="1" applyBorder="1" applyAlignment="1">
      <alignment horizontal="center" vertical="top" wrapText="1"/>
    </xf>
    <xf numFmtId="0" fontId="62" fillId="0" borderId="12" xfId="0" applyNumberFormat="1" applyFont="1" applyFill="1" applyBorder="1" applyAlignment="1">
      <alignment horizontal="left" vertical="top" wrapText="1"/>
    </xf>
    <xf numFmtId="0" fontId="67" fillId="0" borderId="12" xfId="0" applyNumberFormat="1" applyFont="1" applyFill="1" applyBorder="1" applyAlignment="1">
      <alignment horizontal="center"/>
    </xf>
    <xf numFmtId="179" fontId="42" fillId="0" borderId="0" xfId="75" applyNumberFormat="1" applyFont="1" applyFill="1" applyBorder="1" applyAlignment="1">
      <alignment horizontal="center" vertical="center"/>
    </xf>
    <xf numFmtId="2" fontId="49" fillId="0" borderId="12" xfId="0" applyNumberFormat="1" applyFont="1" applyFill="1" applyBorder="1" applyAlignment="1">
      <alignment horizontal="center" vertical="center" wrapText="1"/>
    </xf>
    <xf numFmtId="2" fontId="50" fillId="0" borderId="12" xfId="0" applyNumberFormat="1" applyFont="1" applyFill="1" applyBorder="1" applyAlignment="1">
      <alignment horizontal="center" vertical="center" wrapText="1"/>
    </xf>
    <xf numFmtId="2" fontId="42" fillId="0" borderId="12" xfId="0" applyNumberFormat="1" applyFont="1" applyFill="1" applyBorder="1" applyAlignment="1">
      <alignment horizontal="center" vertical="center" wrapText="1"/>
    </xf>
    <xf numFmtId="2" fontId="45" fillId="0" borderId="20" xfId="75" applyNumberFormat="1" applyFont="1" applyFill="1" applyBorder="1" applyAlignment="1">
      <alignment horizontal="center" vertical="center" wrapText="1"/>
    </xf>
    <xf numFmtId="2" fontId="42" fillId="0" borderId="18" xfId="75" applyNumberFormat="1" applyFont="1" applyBorder="1" applyAlignment="1">
      <alignment horizontal="center" vertical="center"/>
    </xf>
    <xf numFmtId="2" fontId="42" fillId="0" borderId="12" xfId="75" applyNumberFormat="1" applyFont="1" applyBorder="1" applyAlignment="1">
      <alignment horizontal="center" vertical="center"/>
    </xf>
    <xf numFmtId="4" fontId="42" fillId="0" borderId="12" xfId="75" applyNumberFormat="1" applyFont="1" applyBorder="1" applyAlignment="1">
      <alignment horizontal="center" vertical="center"/>
    </xf>
    <xf numFmtId="2" fontId="42" fillId="0" borderId="12" xfId="75" applyNumberFormat="1" applyFont="1" applyFill="1" applyBorder="1" applyAlignment="1">
      <alignment horizontal="center" vertical="center" wrapText="1"/>
    </xf>
    <xf numFmtId="2" fontId="37" fillId="0" borderId="13" xfId="0" applyNumberFormat="1" applyFont="1" applyBorder="1" applyAlignment="1">
      <alignment horizontal="center" vertical="center"/>
    </xf>
    <xf numFmtId="2" fontId="37" fillId="0" borderId="49" xfId="0" applyNumberFormat="1" applyFont="1" applyBorder="1" applyAlignment="1">
      <alignment horizontal="center" vertical="center"/>
    </xf>
    <xf numFmtId="2" fontId="37" fillId="0" borderId="25" xfId="0" applyNumberFormat="1" applyFont="1" applyBorder="1" applyAlignment="1">
      <alignment horizontal="center" vertical="center"/>
    </xf>
    <xf numFmtId="2" fontId="37" fillId="0" borderId="54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2" fontId="37" fillId="0" borderId="58" xfId="0" applyNumberFormat="1" applyFont="1" applyBorder="1" applyAlignment="1">
      <alignment horizontal="center" vertical="center"/>
    </xf>
    <xf numFmtId="2" fontId="37" fillId="0" borderId="44" xfId="0" applyNumberFormat="1" applyFont="1" applyBorder="1" applyAlignment="1">
      <alignment horizontal="center" vertical="center"/>
    </xf>
    <xf numFmtId="2" fontId="37" fillId="0" borderId="56" xfId="0" applyNumberFormat="1" applyFont="1" applyBorder="1" applyAlignment="1">
      <alignment horizontal="center" vertical="center"/>
    </xf>
    <xf numFmtId="2" fontId="39" fillId="0" borderId="46" xfId="0" applyNumberFormat="1" applyFont="1" applyBorder="1" applyAlignment="1">
      <alignment horizontal="center" vertical="center"/>
    </xf>
    <xf numFmtId="2" fontId="39" fillId="0" borderId="47" xfId="0" applyNumberFormat="1" applyFont="1" applyBorder="1" applyAlignment="1">
      <alignment horizontal="center" vertical="center"/>
    </xf>
    <xf numFmtId="2" fontId="42" fillId="0" borderId="16" xfId="75" applyNumberFormat="1" applyFont="1" applyFill="1" applyBorder="1" applyAlignment="1">
      <alignment horizontal="center" vertical="center" wrapText="1"/>
    </xf>
    <xf numFmtId="2" fontId="42" fillId="0" borderId="16" xfId="0" applyNumberFormat="1" applyFont="1" applyFill="1" applyBorder="1" applyAlignment="1">
      <alignment horizontal="center" vertical="center" wrapText="1"/>
    </xf>
    <xf numFmtId="2" fontId="42" fillId="0" borderId="17" xfId="75" applyNumberFormat="1" applyFont="1" applyFill="1" applyBorder="1" applyAlignment="1">
      <alignment horizontal="center" vertical="center" wrapText="1"/>
    </xf>
    <xf numFmtId="2" fontId="42" fillId="0" borderId="17" xfId="0" applyNumberFormat="1" applyFont="1" applyFill="1" applyBorder="1" applyAlignment="1">
      <alignment horizontal="center" vertical="center" wrapText="1"/>
    </xf>
    <xf numFmtId="2" fontId="42" fillId="0" borderId="18" xfId="0" applyNumberFormat="1" applyFont="1" applyFill="1" applyBorder="1" applyAlignment="1">
      <alignment horizontal="center" vertical="center" wrapText="1"/>
    </xf>
    <xf numFmtId="2" fontId="56" fillId="0" borderId="13" xfId="69" applyNumberFormat="1" applyFont="1" applyFill="1" applyBorder="1" applyAlignment="1">
      <alignment horizontal="center" vertical="center" wrapText="1"/>
    </xf>
    <xf numFmtId="2" fontId="61" fillId="0" borderId="25" xfId="91" applyNumberFormat="1" applyFont="1" applyFill="1" applyBorder="1" applyAlignment="1">
      <alignment horizontal="center"/>
    </xf>
    <xf numFmtId="2" fontId="61" fillId="0" borderId="25" xfId="0" applyNumberFormat="1" applyFont="1" applyFill="1" applyBorder="1" applyAlignment="1">
      <alignment horizontal="center" wrapText="1"/>
    </xf>
    <xf numFmtId="2" fontId="61" fillId="27" borderId="13" xfId="91" applyNumberFormat="1" applyFont="1" applyFill="1" applyBorder="1" applyAlignment="1">
      <alignment horizontal="center"/>
    </xf>
    <xf numFmtId="2" fontId="61" fillId="0" borderId="13" xfId="91" applyNumberFormat="1" applyFont="1" applyFill="1" applyBorder="1" applyAlignment="1">
      <alignment horizontal="center"/>
    </xf>
    <xf numFmtId="2" fontId="61" fillId="0" borderId="13" xfId="0" applyNumberFormat="1" applyFont="1" applyFill="1" applyBorder="1" applyAlignment="1">
      <alignment horizontal="center" wrapText="1"/>
    </xf>
    <xf numFmtId="2" fontId="61" fillId="27" borderId="13" xfId="0" applyNumberFormat="1" applyFont="1" applyFill="1" applyBorder="1" applyAlignment="1">
      <alignment horizontal="center" wrapText="1"/>
    </xf>
    <xf numFmtId="2" fontId="61" fillId="0" borderId="12" xfId="91" applyNumberFormat="1" applyFont="1" applyFill="1" applyBorder="1" applyAlignment="1">
      <alignment horizontal="center"/>
    </xf>
    <xf numFmtId="2" fontId="61" fillId="0" borderId="12" xfId="0" applyNumberFormat="1" applyFont="1" applyFill="1" applyBorder="1" applyAlignment="1">
      <alignment horizontal="center" wrapText="1"/>
    </xf>
    <xf numFmtId="2" fontId="61" fillId="0" borderId="59" xfId="0" applyNumberFormat="1" applyFont="1" applyFill="1" applyBorder="1" applyAlignment="1">
      <alignment horizontal="center" wrapText="1"/>
    </xf>
    <xf numFmtId="2" fontId="58" fillId="0" borderId="14" xfId="92" applyNumberFormat="1" applyFont="1" applyFill="1" applyBorder="1" applyAlignment="1" applyProtection="1">
      <alignment horizontal="center" vertical="center"/>
    </xf>
    <xf numFmtId="2" fontId="42" fillId="0" borderId="14" xfId="0" applyNumberFormat="1" applyFont="1" applyFill="1" applyBorder="1" applyAlignment="1">
      <alignment horizontal="center" wrapText="1"/>
    </xf>
    <xf numFmtId="2" fontId="42" fillId="0" borderId="13" xfId="0" applyNumberFormat="1" applyFont="1" applyFill="1" applyBorder="1" applyAlignment="1">
      <alignment horizontal="center" wrapText="1"/>
    </xf>
    <xf numFmtId="2" fontId="42" fillId="0" borderId="13" xfId="92" applyNumberFormat="1" applyFont="1" applyFill="1" applyBorder="1" applyAlignment="1" applyProtection="1">
      <alignment horizontal="center" vertical="center"/>
    </xf>
    <xf numFmtId="2" fontId="42" fillId="0" borderId="13" xfId="0" applyNumberFormat="1" applyFont="1" applyFill="1" applyBorder="1" applyAlignment="1" applyProtection="1">
      <alignment horizontal="center" vertical="center"/>
    </xf>
    <xf numFmtId="2" fontId="42" fillId="0" borderId="25" xfId="0" applyNumberFormat="1" applyFont="1" applyFill="1" applyBorder="1" applyAlignment="1" applyProtection="1">
      <alignment horizontal="center" vertical="center"/>
    </xf>
    <xf numFmtId="2" fontId="42" fillId="0" borderId="25" xfId="92" applyNumberFormat="1" applyFont="1" applyFill="1" applyBorder="1" applyAlignment="1" applyProtection="1">
      <alignment horizontal="center" vertical="center"/>
    </xf>
    <xf numFmtId="2" fontId="61" fillId="0" borderId="12" xfId="0" applyNumberFormat="1" applyFont="1" applyFill="1" applyBorder="1" applyAlignment="1">
      <alignment horizontal="center" vertical="center" wrapText="1"/>
    </xf>
    <xf numFmtId="2" fontId="61" fillId="0" borderId="13" xfId="92" applyNumberFormat="1" applyFont="1" applyFill="1" applyBorder="1" applyAlignment="1" applyProtection="1">
      <alignment horizontal="center" vertical="center"/>
    </xf>
    <xf numFmtId="2" fontId="62" fillId="0" borderId="12" xfId="0" applyNumberFormat="1" applyFont="1" applyFill="1" applyBorder="1" applyAlignment="1">
      <alignment horizontal="center" vertical="center"/>
    </xf>
    <xf numFmtId="2" fontId="56" fillId="0" borderId="12" xfId="0" applyNumberFormat="1" applyFont="1" applyFill="1" applyBorder="1" applyAlignment="1">
      <alignment horizontal="center" vertical="center"/>
    </xf>
    <xf numFmtId="2" fontId="45" fillId="0" borderId="55" xfId="75" applyNumberFormat="1" applyFont="1" applyFill="1" applyBorder="1" applyAlignment="1">
      <alignment horizontal="center" vertical="center" wrapText="1"/>
    </xf>
    <xf numFmtId="2" fontId="49" fillId="0" borderId="17" xfId="0" applyNumberFormat="1" applyFont="1" applyFill="1" applyBorder="1" applyAlignment="1">
      <alignment horizontal="center" vertical="center" wrapText="1"/>
    </xf>
    <xf numFmtId="2" fontId="50" fillId="0" borderId="16" xfId="0" applyNumberFormat="1" applyFont="1" applyFill="1" applyBorder="1" applyAlignment="1">
      <alignment horizontal="center" vertical="center" wrapText="1"/>
    </xf>
    <xf numFmtId="2" fontId="50" fillId="0" borderId="12" xfId="0" applyNumberFormat="1" applyFont="1" applyFill="1" applyBorder="1" applyAlignment="1">
      <alignment horizontal="center" vertical="center"/>
    </xf>
    <xf numFmtId="0" fontId="61" fillId="0" borderId="12" xfId="75" applyNumberFormat="1" applyFont="1" applyFill="1" applyBorder="1" applyAlignment="1">
      <alignment horizontal="center" vertical="center" wrapText="1"/>
    </xf>
    <xf numFmtId="0" fontId="61" fillId="0" borderId="13" xfId="0" applyNumberFormat="1" applyFont="1" applyFill="1" applyBorder="1" applyAlignment="1">
      <alignment horizontal="left" wrapText="1"/>
    </xf>
    <xf numFmtId="0" fontId="61" fillId="0" borderId="13" xfId="0" applyNumberFormat="1" applyFont="1" applyFill="1" applyBorder="1" applyAlignment="1">
      <alignment horizontal="center" wrapText="1"/>
    </xf>
    <xf numFmtId="0" fontId="61" fillId="0" borderId="13" xfId="92" applyNumberFormat="1" applyFont="1" applyFill="1" applyBorder="1" applyAlignment="1">
      <alignment horizontal="center"/>
    </xf>
    <xf numFmtId="0" fontId="61" fillId="0" borderId="13" xfId="92" applyNumberFormat="1" applyFont="1" applyFill="1" applyBorder="1" applyAlignment="1">
      <alignment horizontal="left" wrapText="1"/>
    </xf>
    <xf numFmtId="0" fontId="61" fillId="0" borderId="13" xfId="92" applyNumberFormat="1" applyFont="1" applyFill="1" applyBorder="1" applyAlignment="1">
      <alignment horizontal="center" wrapText="1"/>
    </xf>
    <xf numFmtId="0" fontId="62" fillId="0" borderId="12" xfId="0" applyNumberFormat="1" applyFont="1" applyFill="1" applyBorder="1" applyAlignment="1">
      <alignment horizontal="center" vertical="center"/>
    </xf>
    <xf numFmtId="0" fontId="61" fillId="0" borderId="16" xfId="75" applyNumberFormat="1" applyFont="1" applyFill="1" applyBorder="1" applyAlignment="1">
      <alignment horizontal="center" vertical="center" wrapText="1"/>
    </xf>
    <xf numFmtId="0" fontId="61" fillId="0" borderId="25" xfId="0" applyNumberFormat="1" applyFont="1" applyFill="1" applyBorder="1" applyAlignment="1">
      <alignment horizontal="left" wrapText="1"/>
    </xf>
    <xf numFmtId="0" fontId="61" fillId="0" borderId="25" xfId="0" applyNumberFormat="1" applyFont="1" applyFill="1" applyBorder="1" applyAlignment="1">
      <alignment horizontal="center" wrapText="1"/>
    </xf>
    <xf numFmtId="0" fontId="61" fillId="0" borderId="13" xfId="0" applyNumberFormat="1" applyFont="1" applyBorder="1" applyAlignment="1">
      <alignment horizontal="left" wrapText="1"/>
    </xf>
    <xf numFmtId="0" fontId="61" fillId="0" borderId="13" xfId="0" applyNumberFormat="1" applyFont="1" applyBorder="1" applyAlignment="1">
      <alignment horizontal="center" wrapText="1"/>
    </xf>
    <xf numFmtId="0" fontId="61" fillId="0" borderId="12" xfId="0" applyNumberFormat="1" applyFont="1" applyFill="1" applyBorder="1" applyAlignment="1">
      <alignment horizontal="left" wrapText="1"/>
    </xf>
    <xf numFmtId="0" fontId="61" fillId="0" borderId="12" xfId="0" applyNumberFormat="1" applyFont="1" applyFill="1" applyBorder="1" applyAlignment="1">
      <alignment horizontal="center" wrapText="1"/>
    </xf>
    <xf numFmtId="0" fontId="37" fillId="0" borderId="12" xfId="75" applyNumberFormat="1" applyFont="1" applyFill="1" applyBorder="1" applyAlignment="1">
      <alignment horizontal="center" vertical="center" wrapText="1"/>
    </xf>
    <xf numFmtId="0" fontId="64" fillId="0" borderId="14" xfId="92" applyNumberFormat="1" applyFont="1" applyFill="1" applyBorder="1" applyAlignment="1">
      <alignment horizontal="center" wrapText="1"/>
    </xf>
    <xf numFmtId="0" fontId="65" fillId="0" borderId="14" xfId="92" applyNumberFormat="1" applyFont="1" applyFill="1" applyBorder="1" applyAlignment="1">
      <alignment horizontal="center" wrapText="1"/>
    </xf>
    <xf numFmtId="0" fontId="42" fillId="0" borderId="13" xfId="0" applyNumberFormat="1" applyFont="1" applyFill="1" applyBorder="1" applyAlignment="1">
      <alignment horizontal="left" wrapText="1"/>
    </xf>
    <xf numFmtId="0" fontId="42" fillId="0" borderId="12" xfId="75" applyNumberFormat="1" applyFont="1" applyFill="1" applyBorder="1" applyAlignment="1">
      <alignment horizontal="center" vertical="center" wrapText="1"/>
    </xf>
    <xf numFmtId="0" fontId="42" fillId="0" borderId="13" xfId="0" applyNumberFormat="1" applyFont="1" applyFill="1" applyBorder="1" applyAlignment="1">
      <alignment horizontal="center" wrapText="1"/>
    </xf>
    <xf numFmtId="0" fontId="42" fillId="0" borderId="25" xfId="0" applyNumberFormat="1" applyFont="1" applyFill="1" applyBorder="1" applyAlignment="1">
      <alignment horizontal="left" wrapText="1"/>
    </xf>
    <xf numFmtId="0" fontId="42" fillId="0" borderId="25" xfId="0" applyNumberFormat="1" applyFont="1" applyFill="1" applyBorder="1" applyAlignment="1">
      <alignment horizontal="center" wrapText="1"/>
    </xf>
    <xf numFmtId="0" fontId="56" fillId="0" borderId="12" xfId="0" applyNumberFormat="1" applyFont="1" applyFill="1" applyBorder="1" applyAlignment="1">
      <alignment horizontal="center" vertical="center"/>
    </xf>
    <xf numFmtId="0" fontId="42" fillId="0" borderId="13" xfId="0" applyNumberFormat="1" applyFont="1" applyFill="1" applyBorder="1" applyAlignment="1">
      <alignment wrapText="1"/>
    </xf>
    <xf numFmtId="0" fontId="42" fillId="0" borderId="13" xfId="0" applyNumberFormat="1" applyFont="1" applyBorder="1" applyAlignment="1">
      <alignment horizontal="left" wrapText="1"/>
    </xf>
    <xf numFmtId="0" fontId="61" fillId="0" borderId="12" xfId="0" applyNumberFormat="1" applyFont="1" applyFill="1" applyBorder="1" applyAlignment="1" applyProtection="1">
      <alignment horizontal="left" vertical="center" wrapText="1"/>
    </xf>
    <xf numFmtId="0" fontId="42" fillId="0" borderId="12" xfId="0" applyNumberFormat="1" applyFont="1" applyFill="1" applyBorder="1" applyAlignment="1" applyProtection="1">
      <alignment horizontal="left" vertical="center" wrapText="1"/>
    </xf>
    <xf numFmtId="0" fontId="42" fillId="0" borderId="18" xfId="75" applyNumberFormat="1" applyFont="1" applyBorder="1" applyAlignment="1">
      <alignment vertical="center"/>
    </xf>
    <xf numFmtId="0" fontId="45" fillId="0" borderId="18" xfId="75" applyNumberFormat="1" applyFont="1" applyBorder="1" applyAlignment="1">
      <alignment vertical="center" wrapText="1"/>
    </xf>
    <xf numFmtId="0" fontId="42" fillId="0" borderId="18" xfId="0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center" vertical="center"/>
    </xf>
    <xf numFmtId="0" fontId="47" fillId="0" borderId="12" xfId="0" applyNumberFormat="1" applyFont="1" applyFill="1" applyBorder="1" applyAlignment="1">
      <alignment horizontal="center" vertical="center"/>
    </xf>
    <xf numFmtId="183" fontId="42" fillId="0" borderId="16" xfId="0" applyNumberFormat="1" applyFont="1" applyFill="1" applyBorder="1" applyAlignment="1">
      <alignment horizontal="center" vertical="center"/>
    </xf>
    <xf numFmtId="184" fontId="42" fillId="0" borderId="16" xfId="0" applyNumberFormat="1" applyFont="1" applyFill="1" applyBorder="1" applyAlignment="1">
      <alignment horizontal="center" vertical="center"/>
    </xf>
    <xf numFmtId="0" fontId="61" fillId="0" borderId="13" xfId="92" applyNumberFormat="1" applyFont="1" applyFill="1" applyBorder="1" applyAlignment="1">
      <alignment wrapText="1"/>
    </xf>
    <xf numFmtId="49" fontId="42" fillId="0" borderId="12" xfId="0" applyNumberFormat="1" applyFont="1" applyBorder="1" applyAlignment="1">
      <alignment horizontal="left" vertical="center" wrapText="1"/>
    </xf>
    <xf numFmtId="0" fontId="42" fillId="0" borderId="12" xfId="107" applyFont="1" applyBorder="1" applyAlignment="1">
      <alignment horizontal="center" vertical="center"/>
    </xf>
    <xf numFmtId="0" fontId="42" fillId="0" borderId="12" xfId="107" applyFont="1" applyBorder="1" applyAlignment="1">
      <alignment horizontal="left" vertical="center" wrapText="1"/>
    </xf>
    <xf numFmtId="0" fontId="42" fillId="0" borderId="12" xfId="107" applyFont="1" applyBorder="1" applyAlignment="1">
      <alignment horizont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3" fontId="42" fillId="0" borderId="12" xfId="0" applyNumberFormat="1" applyFont="1" applyBorder="1" applyAlignment="1">
      <alignment horizontal="center" vertical="center" wrapText="1"/>
    </xf>
    <xf numFmtId="0" fontId="53" fillId="0" borderId="0" xfId="0" applyFont="1" applyFill="1" applyBorder="1" applyAlignment="1">
      <alignment vertical="center" wrapText="1"/>
    </xf>
    <xf numFmtId="4" fontId="53" fillId="0" borderId="0" xfId="0" applyNumberFormat="1" applyFont="1" applyFill="1" applyBorder="1" applyAlignment="1">
      <alignment vertical="center" wrapText="1"/>
    </xf>
    <xf numFmtId="2" fontId="42" fillId="0" borderId="60" xfId="0" applyNumberFormat="1" applyFont="1" applyFill="1" applyBorder="1" applyAlignment="1">
      <alignment horizontal="center" vertical="center" wrapText="1"/>
    </xf>
    <xf numFmtId="1" fontId="47" fillId="0" borderId="60" xfId="0" applyNumberFormat="1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42" fillId="0" borderId="60" xfId="0" applyNumberFormat="1" applyFont="1" applyFill="1" applyBorder="1" applyAlignment="1" applyProtection="1">
      <alignment vertical="center" wrapText="1"/>
    </xf>
    <xf numFmtId="0" fontId="47" fillId="0" borderId="60" xfId="0" applyFont="1" applyFill="1" applyBorder="1" applyAlignment="1">
      <alignment horizontal="center" vertical="center"/>
    </xf>
    <xf numFmtId="2" fontId="42" fillId="0" borderId="60" xfId="0" applyNumberFormat="1" applyFont="1" applyFill="1" applyBorder="1" applyAlignment="1">
      <alignment horizontal="center" vertical="center"/>
    </xf>
    <xf numFmtId="2" fontId="47" fillId="0" borderId="60" xfId="0" applyNumberFormat="1" applyFont="1" applyFill="1" applyBorder="1" applyAlignment="1">
      <alignment horizontal="center" vertical="center"/>
    </xf>
    <xf numFmtId="179" fontId="42" fillId="0" borderId="60" xfId="75" applyNumberFormat="1" applyFont="1" applyFill="1" applyBorder="1" applyAlignment="1">
      <alignment vertical="center" wrapText="1"/>
    </xf>
    <xf numFmtId="1" fontId="42" fillId="0" borderId="60" xfId="0" applyNumberFormat="1" applyFont="1" applyFill="1" applyBorder="1" applyAlignment="1">
      <alignment horizontal="center" vertical="center"/>
    </xf>
    <xf numFmtId="0" fontId="42" fillId="0" borderId="60" xfId="0" applyFont="1" applyFill="1" applyBorder="1" applyAlignment="1">
      <alignment horizontal="left" vertical="center" wrapText="1"/>
    </xf>
    <xf numFmtId="0" fontId="42" fillId="0" borderId="60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179" fontId="42" fillId="0" borderId="60" xfId="0" applyNumberFormat="1" applyFont="1" applyFill="1" applyBorder="1" applyAlignment="1">
      <alignment horizontal="center" vertical="center"/>
    </xf>
    <xf numFmtId="1" fontId="42" fillId="0" borderId="60" xfId="75" applyNumberFormat="1" applyFont="1" applyFill="1" applyBorder="1" applyAlignment="1">
      <alignment horizontal="center" vertical="center" wrapText="1"/>
    </xf>
    <xf numFmtId="2" fontId="42" fillId="0" borderId="60" xfId="75" applyNumberFormat="1" applyFont="1" applyFill="1" applyBorder="1" applyAlignment="1">
      <alignment horizontal="center" vertical="center"/>
    </xf>
    <xf numFmtId="0" fontId="42" fillId="0" borderId="60" xfId="0" applyNumberFormat="1" applyFont="1" applyFill="1" applyBorder="1" applyAlignment="1" applyProtection="1">
      <alignment horizontal="left" vertical="center" wrapText="1"/>
    </xf>
    <xf numFmtId="1" fontId="53" fillId="0" borderId="60" xfId="0" applyNumberFormat="1" applyFont="1" applyFill="1" applyBorder="1" applyAlignment="1">
      <alignment horizontal="center" vertical="center"/>
    </xf>
    <xf numFmtId="0" fontId="53" fillId="0" borderId="60" xfId="0" applyFont="1" applyFill="1" applyBorder="1" applyAlignment="1">
      <alignment horizontal="center" vertical="center"/>
    </xf>
    <xf numFmtId="2" fontId="53" fillId="0" borderId="60" xfId="0" applyNumberFormat="1" applyFont="1" applyFill="1" applyBorder="1" applyAlignment="1">
      <alignment horizontal="center" vertical="center"/>
    </xf>
    <xf numFmtId="0" fontId="46" fillId="0" borderId="60" xfId="0" applyNumberFormat="1" applyFont="1" applyFill="1" applyBorder="1" applyAlignment="1" applyProtection="1">
      <alignment vertical="center" wrapText="1"/>
    </xf>
    <xf numFmtId="2" fontId="42" fillId="0" borderId="60" xfId="75" applyNumberFormat="1" applyFont="1" applyFill="1" applyBorder="1" applyAlignment="1">
      <alignment horizontal="center" vertical="center" wrapText="1"/>
    </xf>
    <xf numFmtId="0" fontId="42" fillId="0" borderId="60" xfId="0" applyFont="1" applyBorder="1" applyAlignment="1">
      <alignment vertical="center" wrapText="1"/>
    </xf>
    <xf numFmtId="0" fontId="42" fillId="0" borderId="60" xfId="0" applyFont="1" applyBorder="1" applyAlignment="1">
      <alignment horizontal="center" vertical="center"/>
    </xf>
    <xf numFmtId="2" fontId="42" fillId="0" borderId="60" xfId="0" applyNumberFormat="1" applyFont="1" applyBorder="1" applyAlignment="1">
      <alignment horizontal="center" vertical="center"/>
    </xf>
    <xf numFmtId="0" fontId="42" fillId="0" borderId="60" xfId="0" applyFont="1" applyBorder="1" applyAlignment="1">
      <alignment horizontal="left" vertical="center" wrapText="1"/>
    </xf>
    <xf numFmtId="0" fontId="42" fillId="0" borderId="60" xfId="0" applyNumberFormat="1" applyFont="1" applyFill="1" applyBorder="1" applyAlignment="1">
      <alignment horizontal="center" vertical="center"/>
    </xf>
    <xf numFmtId="0" fontId="47" fillId="0" borderId="60" xfId="0" applyNumberFormat="1" applyFont="1" applyFill="1" applyBorder="1" applyAlignment="1">
      <alignment horizontal="center" vertical="center"/>
    </xf>
    <xf numFmtId="0" fontId="56" fillId="0" borderId="60" xfId="0" applyNumberFormat="1" applyFont="1" applyFill="1" applyBorder="1" applyAlignment="1">
      <alignment horizontal="center" vertical="center"/>
    </xf>
    <xf numFmtId="0" fontId="42" fillId="0" borderId="60" xfId="0" applyNumberFormat="1" applyFont="1" applyFill="1" applyBorder="1" applyAlignment="1">
      <alignment horizontal="left" vertical="center" wrapText="1"/>
    </xf>
    <xf numFmtId="0" fontId="42" fillId="0" borderId="60" xfId="0" applyNumberFormat="1" applyFont="1" applyFill="1" applyBorder="1" applyAlignment="1"/>
    <xf numFmtId="0" fontId="42" fillId="0" borderId="60" xfId="0" applyNumberFormat="1" applyFont="1" applyBorder="1" applyAlignment="1">
      <alignment horizontal="center" vertical="center"/>
    </xf>
    <xf numFmtId="0" fontId="42" fillId="0" borderId="60" xfId="0" applyNumberFormat="1" applyFont="1" applyFill="1" applyBorder="1" applyAlignment="1">
      <alignment horizontal="left"/>
    </xf>
    <xf numFmtId="1" fontId="42" fillId="0" borderId="60" xfId="0" applyNumberFormat="1" applyFont="1" applyBorder="1" applyAlignment="1">
      <alignment horizontal="center" vertical="center"/>
    </xf>
    <xf numFmtId="0" fontId="42" fillId="0" borderId="60" xfId="75" applyNumberFormat="1" applyFont="1" applyFill="1" applyBorder="1" applyAlignment="1">
      <alignment vertical="center" wrapText="1"/>
    </xf>
    <xf numFmtId="0" fontId="42" fillId="0" borderId="60" xfId="75" applyNumberFormat="1" applyFont="1" applyFill="1" applyBorder="1" applyAlignment="1">
      <alignment horizontal="center" vertical="center" wrapText="1"/>
    </xf>
    <xf numFmtId="0" fontId="42" fillId="0" borderId="60" xfId="0" applyNumberFormat="1" applyFont="1" applyFill="1" applyBorder="1" applyAlignment="1">
      <alignment horizontal="left" wrapText="1"/>
    </xf>
    <xf numFmtId="0" fontId="42" fillId="0" borderId="60" xfId="0" applyNumberFormat="1" applyFont="1" applyFill="1" applyBorder="1" applyAlignment="1">
      <alignment horizontal="center" wrapText="1"/>
    </xf>
    <xf numFmtId="2" fontId="42" fillId="0" borderId="60" xfId="92" applyNumberFormat="1" applyFont="1" applyFill="1" applyBorder="1" applyAlignment="1">
      <alignment horizontal="center"/>
    </xf>
    <xf numFmtId="2" fontId="61" fillId="0" borderId="60" xfId="91" applyNumberFormat="1" applyFont="1" applyFill="1" applyBorder="1" applyAlignment="1">
      <alignment horizontal="center"/>
    </xf>
    <xf numFmtId="2" fontId="61" fillId="0" borderId="60" xfId="0" applyNumberFormat="1" applyFont="1" applyFill="1" applyBorder="1" applyAlignment="1">
      <alignment horizontal="center" vertical="center" wrapText="1"/>
    </xf>
    <xf numFmtId="2" fontId="61" fillId="0" borderId="60" xfId="0" applyNumberFormat="1" applyFont="1" applyFill="1" applyBorder="1" applyAlignment="1">
      <alignment horizontal="center" vertical="center"/>
    </xf>
    <xf numFmtId="2" fontId="61" fillId="0" borderId="60" xfId="0" applyNumberFormat="1" applyFont="1" applyFill="1" applyBorder="1" applyAlignment="1">
      <alignment horizontal="center" wrapText="1"/>
    </xf>
    <xf numFmtId="0" fontId="42" fillId="0" borderId="60" xfId="92" applyNumberFormat="1" applyFont="1" applyFill="1" applyBorder="1" applyAlignment="1">
      <alignment horizontal="left" wrapText="1"/>
    </xf>
    <xf numFmtId="0" fontId="42" fillId="0" borderId="60" xfId="92" applyNumberFormat="1" applyFont="1" applyFill="1" applyBorder="1" applyAlignment="1">
      <alignment horizontal="center" wrapText="1"/>
    </xf>
    <xf numFmtId="2" fontId="42" fillId="0" borderId="60" xfId="92" applyNumberFormat="1" applyFont="1" applyFill="1" applyBorder="1" applyAlignment="1" applyProtection="1">
      <alignment horizontal="center" vertical="center"/>
    </xf>
    <xf numFmtId="2" fontId="42" fillId="0" borderId="60" xfId="0" applyNumberFormat="1" applyFont="1" applyFill="1" applyBorder="1" applyAlignment="1">
      <alignment horizontal="center" wrapText="1"/>
    </xf>
    <xf numFmtId="2" fontId="42" fillId="0" borderId="60" xfId="0" applyNumberFormat="1" applyFont="1" applyFill="1" applyBorder="1" applyAlignment="1">
      <alignment horizontal="center"/>
    </xf>
    <xf numFmtId="2" fontId="42" fillId="0" borderId="60" xfId="0" applyNumberFormat="1" applyFont="1" applyFill="1" applyBorder="1" applyAlignment="1" applyProtection="1">
      <alignment horizontal="center" vertical="center"/>
    </xf>
    <xf numFmtId="49" fontId="42" fillId="0" borderId="17" xfId="75" applyNumberFormat="1" applyFont="1" applyFill="1" applyBorder="1" applyAlignment="1">
      <alignment horizontal="center" vertical="center" wrapText="1"/>
    </xf>
    <xf numFmtId="0" fontId="42" fillId="0" borderId="17" xfId="75" applyNumberFormat="1" applyFont="1" applyFill="1" applyBorder="1" applyAlignment="1">
      <alignment horizontal="center" vertical="center" wrapText="1"/>
    </xf>
    <xf numFmtId="0" fontId="42" fillId="0" borderId="61" xfId="0" applyNumberFormat="1" applyFont="1" applyBorder="1" applyAlignment="1">
      <alignment horizontal="left" wrapText="1"/>
    </xf>
    <xf numFmtId="0" fontId="42" fillId="0" borderId="61" xfId="0" applyNumberFormat="1" applyFont="1" applyBorder="1" applyAlignment="1">
      <alignment horizontal="center" wrapText="1"/>
    </xf>
    <xf numFmtId="182" fontId="61" fillId="0" borderId="61" xfId="0" applyNumberFormat="1" applyFont="1" applyFill="1" applyBorder="1" applyAlignment="1">
      <alignment horizontal="center" wrapText="1"/>
    </xf>
    <xf numFmtId="2" fontId="61" fillId="27" borderId="61" xfId="91" applyNumberFormat="1" applyFont="1" applyFill="1" applyBorder="1" applyAlignment="1">
      <alignment horizontal="center"/>
    </xf>
    <xf numFmtId="2" fontId="61" fillId="0" borderId="61" xfId="91" applyNumberFormat="1" applyFont="1" applyFill="1" applyBorder="1" applyAlignment="1">
      <alignment horizontal="center"/>
    </xf>
    <xf numFmtId="2" fontId="61" fillId="0" borderId="61" xfId="0" applyNumberFormat="1" applyFont="1" applyFill="1" applyBorder="1" applyAlignment="1">
      <alignment horizontal="center" wrapText="1"/>
    </xf>
    <xf numFmtId="2" fontId="61" fillId="27" borderId="61" xfId="0" applyNumberFormat="1" applyFont="1" applyFill="1" applyBorder="1" applyAlignment="1">
      <alignment horizontal="center" wrapText="1"/>
    </xf>
    <xf numFmtId="2" fontId="61" fillId="0" borderId="17" xfId="0" applyNumberFormat="1" applyFont="1" applyFill="1" applyBorder="1" applyAlignment="1">
      <alignment horizontal="center" vertical="center"/>
    </xf>
    <xf numFmtId="49" fontId="42" fillId="0" borderId="60" xfId="75" applyNumberFormat="1" applyFont="1" applyFill="1" applyBorder="1" applyAlignment="1">
      <alignment horizontal="center" vertical="center" wrapText="1"/>
    </xf>
    <xf numFmtId="0" fontId="42" fillId="0" borderId="60" xfId="0" applyNumberFormat="1" applyFont="1" applyFill="1" applyBorder="1" applyAlignment="1">
      <alignment wrapText="1"/>
    </xf>
    <xf numFmtId="0" fontId="42" fillId="0" borderId="60" xfId="0" applyNumberFormat="1" applyFont="1" applyBorder="1" applyAlignment="1">
      <alignment horizontal="left" wrapText="1"/>
    </xf>
    <xf numFmtId="0" fontId="42" fillId="0" borderId="60" xfId="0" applyNumberFormat="1" applyFont="1" applyBorder="1" applyAlignment="1">
      <alignment horizontal="center" wrapText="1"/>
    </xf>
    <xf numFmtId="164" fontId="61" fillId="0" borderId="60" xfId="0" applyNumberFormat="1" applyFont="1" applyFill="1" applyBorder="1" applyAlignment="1">
      <alignment horizontal="center" wrapText="1"/>
    </xf>
    <xf numFmtId="2" fontId="61" fillId="27" borderId="60" xfId="91" applyNumberFormat="1" applyFont="1" applyFill="1" applyBorder="1" applyAlignment="1">
      <alignment horizontal="center"/>
    </xf>
    <xf numFmtId="2" fontId="61" fillId="27" borderId="60" xfId="0" applyNumberFormat="1" applyFont="1" applyFill="1" applyBorder="1" applyAlignment="1">
      <alignment horizontal="center" wrapText="1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/>
    <xf numFmtId="0" fontId="71" fillId="0" borderId="0" xfId="0" applyFont="1" applyAlignment="1">
      <alignment horizontal="center"/>
    </xf>
    <xf numFmtId="0" fontId="2" fillId="0" borderId="0" xfId="0" applyNumberFormat="1" applyFont="1" applyProtection="1">
      <protection locked="0"/>
    </xf>
    <xf numFmtId="0" fontId="2" fillId="30" borderId="0" xfId="0" applyNumberFormat="1" applyFont="1" applyFill="1" applyBorder="1" applyAlignment="1" applyProtection="1">
      <alignment horizontal="center"/>
      <protection locked="0"/>
    </xf>
    <xf numFmtId="0" fontId="70" fillId="0" borderId="0" xfId="0" applyFont="1"/>
    <xf numFmtId="4" fontId="42" fillId="0" borderId="0" xfId="75" applyNumberFormat="1" applyFont="1" applyBorder="1" applyAlignment="1">
      <alignment horizontal="center" vertical="center"/>
    </xf>
    <xf numFmtId="0" fontId="42" fillId="31" borderId="16" xfId="0" applyNumberFormat="1" applyFont="1" applyFill="1" applyBorder="1" applyAlignment="1" applyProtection="1">
      <alignment vertical="center" wrapText="1"/>
    </xf>
    <xf numFmtId="0" fontId="47" fillId="31" borderId="12" xfId="0" applyFont="1" applyFill="1" applyBorder="1" applyAlignment="1">
      <alignment horizontal="center" vertical="center"/>
    </xf>
    <xf numFmtId="2" fontId="42" fillId="31" borderId="16" xfId="75" applyNumberFormat="1" applyFont="1" applyFill="1" applyBorder="1" applyAlignment="1">
      <alignment horizontal="center" vertical="center"/>
    </xf>
    <xf numFmtId="1" fontId="47" fillId="31" borderId="12" xfId="0" applyNumberFormat="1" applyFont="1" applyFill="1" applyBorder="1" applyAlignment="1">
      <alignment horizontal="center" vertical="center"/>
    </xf>
    <xf numFmtId="0" fontId="37" fillId="31" borderId="16" xfId="0" applyFont="1" applyFill="1" applyBorder="1" applyAlignment="1">
      <alignment horizontal="center" vertical="center"/>
    </xf>
    <xf numFmtId="0" fontId="42" fillId="0" borderId="13" xfId="92" applyFont="1" applyFill="1" applyBorder="1" applyAlignment="1">
      <alignment wrapText="1"/>
    </xf>
    <xf numFmtId="0" fontId="42" fillId="0" borderId="13" xfId="92" applyFont="1" applyFill="1" applyBorder="1" applyAlignment="1">
      <alignment horizontal="center" wrapText="1"/>
    </xf>
    <xf numFmtId="0" fontId="42" fillId="0" borderId="13" xfId="0" applyFont="1" applyFill="1" applyBorder="1" applyAlignment="1">
      <alignment wrapText="1"/>
    </xf>
    <xf numFmtId="0" fontId="42" fillId="0" borderId="13" xfId="0" applyFont="1" applyFill="1" applyBorder="1" applyAlignment="1">
      <alignment horizontal="center" wrapText="1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73" fillId="29" borderId="60" xfId="0" applyFont="1" applyFill="1" applyBorder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52" fillId="31" borderId="60" xfId="0" applyFont="1" applyFill="1" applyBorder="1" applyAlignment="1">
      <alignment horizontal="left" vertical="center"/>
    </xf>
    <xf numFmtId="0" fontId="52" fillId="29" borderId="60" xfId="0" applyFont="1" applyFill="1" applyBorder="1" applyAlignment="1">
      <alignment horizontal="left" vertical="center"/>
    </xf>
    <xf numFmtId="0" fontId="74" fillId="0" borderId="0" xfId="0" applyFont="1" applyBorder="1" applyAlignment="1">
      <alignment vertical="center" wrapText="1"/>
    </xf>
    <xf numFmtId="0" fontId="75" fillId="0" borderId="0" xfId="0" applyFont="1" applyBorder="1" applyAlignment="1">
      <alignment vertical="center"/>
    </xf>
    <xf numFmtId="0" fontId="52" fillId="0" borderId="66" xfId="0" applyFont="1" applyBorder="1" applyAlignment="1">
      <alignment vertical="center"/>
    </xf>
    <xf numFmtId="0" fontId="52" fillId="0" borderId="67" xfId="0" applyFont="1" applyBorder="1" applyAlignment="1">
      <alignment vertical="center" wrapText="1"/>
    </xf>
    <xf numFmtId="0" fontId="52" fillId="0" borderId="0" xfId="0" applyFont="1" applyBorder="1" applyAlignment="1">
      <alignment vertical="center" wrapText="1"/>
    </xf>
    <xf numFmtId="49" fontId="52" fillId="0" borderId="0" xfId="0" applyNumberFormat="1" applyFont="1" applyAlignment="1">
      <alignment horizontal="left" vertical="center"/>
    </xf>
    <xf numFmtId="0" fontId="76" fillId="0" borderId="0" xfId="0" applyFont="1" applyAlignment="1">
      <alignment vertical="center"/>
    </xf>
    <xf numFmtId="0" fontId="73" fillId="29" borderId="60" xfId="0" applyFont="1" applyFill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NumberFormat="1" applyFont="1" applyBorder="1" applyAlignment="1">
      <alignment horizontal="right" vertical="center"/>
    </xf>
    <xf numFmtId="0" fontId="52" fillId="0" borderId="0" xfId="0" applyFont="1" applyAlignment="1">
      <alignment vertical="center"/>
    </xf>
    <xf numFmtId="0" fontId="52" fillId="30" borderId="0" xfId="0" applyFont="1" applyFill="1" applyBorder="1" applyAlignment="1">
      <alignment vertical="center" wrapText="1"/>
    </xf>
    <xf numFmtId="0" fontId="52" fillId="0" borderId="0" xfId="0" applyFont="1" applyAlignment="1">
      <alignment horizontal="right" vertical="center"/>
    </xf>
    <xf numFmtId="0" fontId="37" fillId="30" borderId="15" xfId="0" applyFont="1" applyFill="1" applyBorder="1" applyAlignment="1">
      <alignment vertical="center"/>
    </xf>
    <xf numFmtId="0" fontId="73" fillId="30" borderId="60" xfId="0" applyFont="1" applyFill="1" applyBorder="1" applyAlignment="1">
      <alignment horizontal="center" vertical="center" wrapText="1"/>
    </xf>
    <xf numFmtId="0" fontId="73" fillId="30" borderId="68" xfId="0" applyFont="1" applyFill="1" applyBorder="1" applyAlignment="1">
      <alignment horizontal="center" vertical="center" wrapText="1"/>
    </xf>
    <xf numFmtId="0" fontId="37" fillId="30" borderId="60" xfId="0" applyFont="1" applyFill="1" applyBorder="1" applyAlignment="1">
      <alignment horizontal="center" vertical="center" wrapText="1"/>
    </xf>
    <xf numFmtId="0" fontId="37" fillId="30" borderId="68" xfId="0" applyFont="1" applyFill="1" applyBorder="1" applyAlignment="1">
      <alignment horizontal="center" vertical="center" wrapText="1"/>
    </xf>
    <xf numFmtId="0" fontId="37" fillId="30" borderId="18" xfId="0" applyFont="1" applyFill="1" applyBorder="1" applyAlignment="1">
      <alignment vertical="center" wrapText="1"/>
    </xf>
    <xf numFmtId="0" fontId="37" fillId="30" borderId="68" xfId="0" applyFont="1" applyFill="1" applyBorder="1" applyAlignment="1">
      <alignment vertical="center" wrapText="1"/>
    </xf>
    <xf numFmtId="0" fontId="37" fillId="30" borderId="18" xfId="0" applyFont="1" applyFill="1" applyBorder="1" applyAlignment="1">
      <alignment horizontal="center" vertical="center" wrapText="1"/>
    </xf>
    <xf numFmtId="0" fontId="37" fillId="0" borderId="68" xfId="0" applyFont="1" applyFill="1" applyBorder="1" applyAlignment="1">
      <alignment vertical="center" wrapText="1"/>
    </xf>
    <xf numFmtId="4" fontId="37" fillId="30" borderId="68" xfId="0" applyNumberFormat="1" applyFont="1" applyFill="1" applyBorder="1" applyAlignment="1">
      <alignment vertical="center" wrapText="1"/>
    </xf>
    <xf numFmtId="0" fontId="52" fillId="30" borderId="62" xfId="0" applyFont="1" applyFill="1" applyBorder="1" applyAlignment="1">
      <alignment horizontal="right" vertical="center"/>
    </xf>
    <xf numFmtId="0" fontId="73" fillId="30" borderId="68" xfId="0" applyFont="1" applyFill="1" applyBorder="1" applyAlignment="1">
      <alignment horizontal="right" vertical="center" wrapText="1"/>
    </xf>
    <xf numFmtId="4" fontId="39" fillId="30" borderId="68" xfId="0" applyNumberFormat="1" applyFont="1" applyFill="1" applyBorder="1" applyAlignment="1">
      <alignment vertical="center" wrapText="1"/>
    </xf>
    <xf numFmtId="4" fontId="37" fillId="0" borderId="60" xfId="0" applyNumberFormat="1" applyFont="1" applyBorder="1" applyAlignment="1">
      <alignment vertical="center"/>
    </xf>
    <xf numFmtId="0" fontId="37" fillId="0" borderId="0" xfId="0" applyNumberFormat="1" applyFont="1" applyFill="1" applyBorder="1" applyAlignment="1" applyProtection="1">
      <alignment vertical="top"/>
      <protection locked="0"/>
    </xf>
    <xf numFmtId="0" fontId="77" fillId="0" borderId="0" xfId="0" applyFont="1"/>
    <xf numFmtId="0" fontId="77" fillId="0" borderId="0" xfId="0" applyFont="1" applyAlignment="1">
      <alignment horizontal="center" vertical="center"/>
    </xf>
    <xf numFmtId="0" fontId="37" fillId="0" borderId="0" xfId="0" applyNumberFormat="1" applyFont="1" applyProtection="1">
      <protection locked="0"/>
    </xf>
    <xf numFmtId="0" fontId="52" fillId="0" borderId="0" xfId="0" applyFont="1" applyFill="1" applyAlignment="1">
      <alignment vertical="center"/>
    </xf>
    <xf numFmtId="0" fontId="37" fillId="31" borderId="67" xfId="0" applyFont="1" applyFill="1" applyBorder="1" applyAlignment="1">
      <alignment vertical="center" wrapText="1"/>
    </xf>
    <xf numFmtId="0" fontId="37" fillId="31" borderId="0" xfId="0" applyFont="1" applyFill="1" applyBorder="1" applyAlignment="1">
      <alignment vertical="center" wrapText="1"/>
    </xf>
    <xf numFmtId="0" fontId="37" fillId="31" borderId="66" xfId="0" applyFont="1" applyFill="1" applyBorder="1" applyAlignment="1">
      <alignment vertical="center" wrapText="1"/>
    </xf>
    <xf numFmtId="0" fontId="52" fillId="30" borderId="62" xfId="0" applyFont="1" applyFill="1" applyBorder="1" applyAlignment="1">
      <alignment horizontal="right" vertical="center"/>
    </xf>
    <xf numFmtId="0" fontId="52" fillId="30" borderId="64" xfId="0" applyFont="1" applyFill="1" applyBorder="1" applyAlignment="1">
      <alignment horizontal="right" vertical="center"/>
    </xf>
    <xf numFmtId="0" fontId="73" fillId="30" borderId="62" xfId="0" applyFont="1" applyFill="1" applyBorder="1" applyAlignment="1">
      <alignment horizontal="right" vertical="center"/>
    </xf>
    <xf numFmtId="0" fontId="73" fillId="30" borderId="64" xfId="0" applyFont="1" applyFill="1" applyBorder="1" applyAlignment="1">
      <alignment horizontal="right" vertical="center"/>
    </xf>
    <xf numFmtId="0" fontId="73" fillId="29" borderId="62" xfId="0" applyFont="1" applyFill="1" applyBorder="1" applyAlignment="1">
      <alignment horizontal="center" vertical="center"/>
    </xf>
    <xf numFmtId="0" fontId="73" fillId="29" borderId="63" xfId="0" applyFont="1" applyFill="1" applyBorder="1" applyAlignment="1">
      <alignment horizontal="center" vertical="center"/>
    </xf>
    <xf numFmtId="0" fontId="73" fillId="29" borderId="64" xfId="0" applyFont="1" applyFill="1" applyBorder="1" applyAlignment="1">
      <alignment horizontal="center" vertical="center"/>
    </xf>
    <xf numFmtId="0" fontId="77" fillId="29" borderId="62" xfId="0" applyFont="1" applyFill="1" applyBorder="1" applyAlignment="1">
      <alignment horizontal="center"/>
    </xf>
    <xf numFmtId="0" fontId="77" fillId="29" borderId="64" xfId="0" applyFont="1" applyFill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77" fillId="0" borderId="0" xfId="0" applyFont="1" applyBorder="1" applyAlignment="1">
      <alignment horizontal="center"/>
    </xf>
    <xf numFmtId="0" fontId="37" fillId="30" borderId="15" xfId="0" applyFont="1" applyFill="1" applyBorder="1" applyAlignment="1">
      <alignment vertical="center" wrapText="1"/>
    </xf>
    <xf numFmtId="0" fontId="52" fillId="0" borderId="65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1" fontId="73" fillId="29" borderId="62" xfId="0" applyNumberFormat="1" applyFont="1" applyFill="1" applyBorder="1" applyAlignment="1">
      <alignment horizontal="center" vertical="center"/>
    </xf>
    <xf numFmtId="1" fontId="73" fillId="29" borderId="63" xfId="0" applyNumberFormat="1" applyFont="1" applyFill="1" applyBorder="1" applyAlignment="1">
      <alignment horizontal="center" vertical="center"/>
    </xf>
    <xf numFmtId="1" fontId="73" fillId="29" borderId="64" xfId="0" applyNumberFormat="1" applyFont="1" applyFill="1" applyBorder="1" applyAlignment="1">
      <alignment horizontal="center" vertical="center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79" fontId="37" fillId="0" borderId="29" xfId="75" applyNumberFormat="1" applyFont="1" applyFill="1" applyBorder="1" applyAlignment="1">
      <alignment horizontal="center" vertical="center" wrapText="1"/>
    </xf>
    <xf numFmtId="179" fontId="37" fillId="0" borderId="30" xfId="75" applyNumberFormat="1" applyFont="1" applyFill="1" applyBorder="1" applyAlignment="1">
      <alignment horizontal="center" vertical="center" wrapText="1"/>
    </xf>
    <xf numFmtId="179" fontId="37" fillId="0" borderId="31" xfId="75" applyNumberFormat="1" applyFont="1" applyFill="1" applyBorder="1" applyAlignment="1">
      <alignment horizontal="center" vertical="center" wrapText="1"/>
    </xf>
    <xf numFmtId="179" fontId="37" fillId="0" borderId="29" xfId="75" applyNumberFormat="1" applyFont="1" applyFill="1" applyBorder="1" applyAlignment="1">
      <alignment horizontal="center" vertical="center" textRotation="90"/>
    </xf>
    <xf numFmtId="179" fontId="37" fillId="0" borderId="30" xfId="75" applyNumberFormat="1" applyFont="1" applyFill="1" applyBorder="1" applyAlignment="1">
      <alignment horizontal="center" vertical="center" textRotation="90"/>
    </xf>
    <xf numFmtId="179" fontId="37" fillId="0" borderId="31" xfId="75" applyNumberFormat="1" applyFont="1" applyFill="1" applyBorder="1" applyAlignment="1">
      <alignment horizontal="center" vertical="center" textRotation="90"/>
    </xf>
    <xf numFmtId="2" fontId="37" fillId="0" borderId="29" xfId="75" applyNumberFormat="1" applyFont="1" applyFill="1" applyBorder="1" applyAlignment="1">
      <alignment horizontal="center" vertical="center" textRotation="90"/>
    </xf>
    <xf numFmtId="2" fontId="37" fillId="0" borderId="30" xfId="75" applyNumberFormat="1" applyFont="1" applyFill="1" applyBorder="1" applyAlignment="1">
      <alignment horizontal="center" vertical="center" textRotation="90"/>
    </xf>
    <xf numFmtId="2" fontId="37" fillId="0" borderId="31" xfId="75" applyNumberFormat="1" applyFont="1" applyFill="1" applyBorder="1" applyAlignment="1">
      <alignment horizontal="center" vertical="center" textRotation="90"/>
    </xf>
    <xf numFmtId="179" fontId="37" fillId="0" borderId="32" xfId="75" applyNumberFormat="1" applyFont="1" applyFill="1" applyBorder="1" applyAlignment="1">
      <alignment horizontal="center" vertical="center"/>
    </xf>
    <xf numFmtId="179" fontId="37" fillId="0" borderId="33" xfId="75" applyNumberFormat="1" applyFont="1" applyFill="1" applyBorder="1" applyAlignment="1">
      <alignment horizontal="center" vertical="center"/>
    </xf>
    <xf numFmtId="179" fontId="42" fillId="0" borderId="0" xfId="75" applyNumberFormat="1" applyFont="1" applyFill="1" applyBorder="1" applyAlignment="1">
      <alignment horizontal="center" vertical="center"/>
    </xf>
    <xf numFmtId="179" fontId="44" fillId="0" borderId="15" xfId="75" applyNumberFormat="1" applyFont="1" applyFill="1" applyBorder="1" applyAlignment="1">
      <alignment horizontal="center" vertical="center"/>
    </xf>
    <xf numFmtId="2" fontId="45" fillId="0" borderId="0" xfId="75" applyNumberFormat="1" applyFont="1" applyFill="1" applyBorder="1" applyAlignment="1">
      <alignment horizontal="left" vertical="center"/>
    </xf>
    <xf numFmtId="179" fontId="37" fillId="0" borderId="34" xfId="75" applyNumberFormat="1" applyFont="1" applyFill="1" applyBorder="1" applyAlignment="1">
      <alignment horizontal="center" vertical="center"/>
    </xf>
    <xf numFmtId="179" fontId="37" fillId="0" borderId="26" xfId="75" applyNumberFormat="1" applyFont="1" applyFill="1" applyBorder="1" applyAlignment="1">
      <alignment horizontal="center" vertical="center"/>
    </xf>
    <xf numFmtId="179" fontId="37" fillId="0" borderId="35" xfId="75" applyNumberFormat="1" applyFont="1" applyFill="1" applyBorder="1" applyAlignment="1">
      <alignment horizontal="center" vertical="center"/>
    </xf>
    <xf numFmtId="179" fontId="37" fillId="0" borderId="36" xfId="75" applyNumberFormat="1" applyFont="1" applyFill="1" applyBorder="1" applyAlignment="1">
      <alignment horizontal="center" vertical="center"/>
    </xf>
    <xf numFmtId="49" fontId="37" fillId="0" borderId="37" xfId="75" applyNumberFormat="1" applyFont="1" applyFill="1" applyBorder="1" applyAlignment="1">
      <alignment horizontal="center" vertical="center" wrapText="1"/>
    </xf>
    <xf numFmtId="49" fontId="37" fillId="0" borderId="38" xfId="75" applyNumberFormat="1" applyFont="1" applyFill="1" applyBorder="1" applyAlignment="1">
      <alignment horizontal="center" vertical="center" wrapText="1"/>
    </xf>
    <xf numFmtId="49" fontId="37" fillId="0" borderId="39" xfId="75" applyNumberFormat="1" applyFont="1" applyFill="1" applyBorder="1" applyAlignment="1">
      <alignment horizontal="center" vertical="center" wrapText="1"/>
    </xf>
    <xf numFmtId="49" fontId="37" fillId="0" borderId="40" xfId="75" applyNumberFormat="1" applyFont="1" applyFill="1" applyBorder="1" applyAlignment="1">
      <alignment horizontal="center" vertical="center" wrapText="1"/>
    </xf>
    <xf numFmtId="49" fontId="37" fillId="0" borderId="41" xfId="75" applyNumberFormat="1" applyFont="1" applyFill="1" applyBorder="1" applyAlignment="1">
      <alignment horizontal="center" vertical="center" wrapText="1"/>
    </xf>
    <xf numFmtId="49" fontId="37" fillId="0" borderId="42" xfId="75" applyNumberFormat="1" applyFont="1" applyFill="1" applyBorder="1" applyAlignment="1">
      <alignment horizontal="center" vertical="center" wrapText="1"/>
    </xf>
  </cellXfs>
  <cellStyles count="108">
    <cellStyle name="_Copy of J24_KONKURSA FORMAS_kopsavilkums3" xfId="1" xr:uid="{00000000-0005-0000-0000-000000000000}"/>
    <cellStyle name="_jekaba_24_virsizd" xfId="2" xr:uid="{00000000-0005-0000-0000-000001000000}"/>
    <cellStyle name="_jekaba_24_virsizd2" xfId="3" xr:uid="{00000000-0005-0000-0000-000002000000}"/>
    <cellStyle name="_Jekaba24_ACG" xfId="4" xr:uid="{00000000-0005-0000-0000-000003000000}"/>
    <cellStyle name="_virsizd_j24_konstr_past" xfId="5" xr:uid="{00000000-0005-0000-0000-000004000000}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Äåķåęķūé [0]_laroux" xfId="24" xr:uid="{00000000-0005-0000-0000-000017000000}"/>
    <cellStyle name="Äåķåęķūé_laroux" xfId="25" xr:uid="{00000000-0005-0000-0000-000018000000}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Calculation" xfId="33" builtinId="22" customBuiltin="1"/>
    <cellStyle name="Check Cell" xfId="34" builtinId="23" customBuiltin="1"/>
    <cellStyle name="Comma 2" xfId="35" xr:uid="{00000000-0005-0000-0000-000022000000}"/>
    <cellStyle name="Comma 3" xfId="36" xr:uid="{00000000-0005-0000-0000-000023000000}"/>
    <cellStyle name="Comma 4" xfId="37" xr:uid="{00000000-0005-0000-0000-000024000000}"/>
    <cellStyle name="Comma 5" xfId="102" xr:uid="{00000000-0005-0000-0000-000025000000}"/>
    <cellStyle name="d" xfId="38" xr:uid="{00000000-0005-0000-0000-000026000000}"/>
    <cellStyle name="d_kuldiga_buvlaukums_20032009" xfId="39" xr:uid="{00000000-0005-0000-0000-000027000000}"/>
    <cellStyle name="Date" xfId="40" xr:uid="{00000000-0005-0000-0000-000028000000}"/>
    <cellStyle name="Date 2" xfId="41" xr:uid="{00000000-0005-0000-0000-000029000000}"/>
    <cellStyle name="Dezimal [0]_Compiling Utility Macros" xfId="42" xr:uid="{00000000-0005-0000-0000-00002A000000}"/>
    <cellStyle name="Dezimal_Compiling Utility Macros" xfId="43" xr:uid="{00000000-0005-0000-0000-00002B000000}"/>
    <cellStyle name="Divider" xfId="44" xr:uid="{00000000-0005-0000-0000-00002C000000}"/>
    <cellStyle name="Excel Built-in Normal" xfId="93" xr:uid="{00000000-0005-0000-0000-00002D000000}"/>
    <cellStyle name="Explanatory Text" xfId="45" builtinId="53" customBuiltin="1"/>
    <cellStyle name="Fixed" xfId="46" xr:uid="{00000000-0005-0000-0000-00002F000000}"/>
    <cellStyle name="Fixed 2" xfId="47" xr:uid="{00000000-0005-0000-0000-000030000000}"/>
    <cellStyle name="Good" xfId="48" builtinId="26" customBuiltin="1"/>
    <cellStyle name="Good 2" xfId="49" xr:uid="{00000000-0005-0000-0000-000032000000}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eading1 1" xfId="54" xr:uid="{00000000-0005-0000-0000-000037000000}"/>
    <cellStyle name="Heading1 2" xfId="55" xr:uid="{00000000-0005-0000-0000-000038000000}"/>
    <cellStyle name="Heading2" xfId="56" xr:uid="{00000000-0005-0000-0000-000039000000}"/>
    <cellStyle name="Heading2 2" xfId="57" xr:uid="{00000000-0005-0000-0000-00003A000000}"/>
    <cellStyle name="Headline I" xfId="58" xr:uid="{00000000-0005-0000-0000-00003B000000}"/>
    <cellStyle name="Headline II" xfId="59" xr:uid="{00000000-0005-0000-0000-00003C000000}"/>
    <cellStyle name="Headline III" xfId="60" xr:uid="{00000000-0005-0000-0000-00003D000000}"/>
    <cellStyle name="Input" xfId="62" builtinId="20" customBuiltin="1"/>
    <cellStyle name="Īįū÷ķūé_laroux" xfId="61" xr:uid="{00000000-0005-0000-0000-00003E000000}"/>
    <cellStyle name="labi" xfId="63" xr:uid="{00000000-0005-0000-0000-000040000000}"/>
    <cellStyle name="Lietojamais" xfId="64" xr:uid="{00000000-0005-0000-0000-000041000000}"/>
    <cellStyle name="Linked Cell" xfId="65" builtinId="24" customBuiltin="1"/>
    <cellStyle name="Neutral" xfId="66" builtinId="28" customBuiltin="1"/>
    <cellStyle name="Neutral 2" xfId="67" xr:uid="{00000000-0005-0000-0000-000044000000}"/>
    <cellStyle name="Normaali_light-98_gun" xfId="68" xr:uid="{00000000-0005-0000-0000-000045000000}"/>
    <cellStyle name="Normal" xfId="0" builtinId="0"/>
    <cellStyle name="Normal 2" xfId="69" xr:uid="{00000000-0005-0000-0000-000047000000}"/>
    <cellStyle name="Normal 2 2" xfId="70" xr:uid="{00000000-0005-0000-0000-000048000000}"/>
    <cellStyle name="Normal 2 3" xfId="94" xr:uid="{00000000-0005-0000-0000-000049000000}"/>
    <cellStyle name="Normal 3" xfId="71" xr:uid="{00000000-0005-0000-0000-00004A000000}"/>
    <cellStyle name="Normal 4" xfId="72" xr:uid="{00000000-0005-0000-0000-00004B000000}"/>
    <cellStyle name="Normal 5" xfId="73" xr:uid="{00000000-0005-0000-0000-00004C000000}"/>
    <cellStyle name="Normal 6" xfId="74" xr:uid="{00000000-0005-0000-0000-00004D000000}"/>
    <cellStyle name="Normal 7" xfId="107" xr:uid="{00000000-0005-0000-0000-00004E000000}"/>
    <cellStyle name="Normal_AD-SLIMNICA" xfId="91" xr:uid="{00000000-0005-0000-0000-00004F000000}"/>
    <cellStyle name="Normal_TameTuristu5-2011-08-06" xfId="75" xr:uid="{00000000-0005-0000-0000-000050000000}"/>
    <cellStyle name="Note" xfId="76" builtinId="10" customBuiltin="1"/>
    <cellStyle name="Output" xfId="77" builtinId="21" customBuiltin="1"/>
    <cellStyle name="Percent 2" xfId="78" xr:uid="{00000000-0005-0000-0000-000053000000}"/>
    <cellStyle name="Percent 3" xfId="100" xr:uid="{00000000-0005-0000-0000-000054000000}"/>
    <cellStyle name="Position" xfId="79" xr:uid="{00000000-0005-0000-0000-000055000000}"/>
    <cellStyle name="Standard_Anpassen der Amortisation" xfId="80" xr:uid="{00000000-0005-0000-0000-000056000000}"/>
    <cellStyle name="Style 1" xfId="81" xr:uid="{00000000-0005-0000-0000-000057000000}"/>
    <cellStyle name="Style 1 2" xfId="95" xr:uid="{00000000-0005-0000-0000-000058000000}"/>
    <cellStyle name="Style 2" xfId="82" xr:uid="{00000000-0005-0000-0000-000059000000}"/>
    <cellStyle name="Title" xfId="83" builtinId="15" customBuiltin="1"/>
    <cellStyle name="Total" xfId="84" builtinId="25" customBuiltin="1"/>
    <cellStyle name="Unit" xfId="85" xr:uid="{00000000-0005-0000-0000-00005C000000}"/>
    <cellStyle name="Währung [0]_Compiling Utility Macros" xfId="86" xr:uid="{00000000-0005-0000-0000-00005D000000}"/>
    <cellStyle name="Währung_Compiling Utility Macros" xfId="87" xr:uid="{00000000-0005-0000-0000-00005E000000}"/>
    <cellStyle name="Warning Text" xfId="88" builtinId="11" customBuiltin="1"/>
    <cellStyle name="Обычный 2" xfId="96" xr:uid="{00000000-0005-0000-0000-000060000000}"/>
    <cellStyle name="Обычный 2 2" xfId="97" xr:uid="{00000000-0005-0000-0000-000061000000}"/>
    <cellStyle name="Обычный 2 2 2" xfId="98" xr:uid="{00000000-0005-0000-0000-000062000000}"/>
    <cellStyle name="Обычный 3" xfId="99" xr:uid="{00000000-0005-0000-0000-000063000000}"/>
    <cellStyle name="Обычный_2009-04-27_PED IESN" xfId="89" xr:uid="{00000000-0005-0000-0000-000064000000}"/>
    <cellStyle name="Обычный_33. OZOLNIEKU NOVADA DOME_OZO SKOLA_TELPU, GAITENU, KAPNU TELPU REMONTS_TAME_VADIMS_2011_02_25_melnraksts" xfId="92" xr:uid="{00000000-0005-0000-0000-000065000000}"/>
    <cellStyle name="Процентный 2" xfId="101" xr:uid="{00000000-0005-0000-0000-000066000000}"/>
    <cellStyle name="Финансовый 2" xfId="103" xr:uid="{00000000-0005-0000-0000-000067000000}"/>
    <cellStyle name="Финансовый 2 2" xfId="104" xr:uid="{00000000-0005-0000-0000-000068000000}"/>
    <cellStyle name="Финансовый 3" xfId="105" xr:uid="{00000000-0005-0000-0000-000069000000}"/>
    <cellStyle name="Финансовый 4" xfId="106" xr:uid="{00000000-0005-0000-0000-00006A000000}"/>
    <cellStyle name="Финансовый_VID_Rigas_Muita BST 1 un 2 karta" xfId="90" xr:uid="{00000000-0005-0000-0000-00006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BIKERNIEKU162\TAMES\1.kartaBuvdarbi\Bikernieku162_21.11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MNometnu16\tames\MNometnu_21.08.20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"/>
  <sheetViews>
    <sheetView showZeros="0" topLeftCell="A12" zoomScale="85" zoomScaleNormal="120" workbookViewId="0">
      <selection activeCell="S21" sqref="S21"/>
    </sheetView>
  </sheetViews>
  <sheetFormatPr defaultRowHeight="409.6"/>
  <cols>
    <col min="1" max="1" width="18.7109375" style="384" customWidth="1"/>
    <col min="2" max="2" width="40.5703125" style="384" customWidth="1"/>
    <col min="3" max="3" width="10.5703125" style="384" customWidth="1"/>
    <col min="4" max="4" width="9.140625" style="384"/>
    <col min="5" max="5" width="8.85546875" style="384" customWidth="1"/>
    <col min="6" max="6" width="9.140625" style="384" hidden="1" customWidth="1"/>
    <col min="7" max="8" width="9.140625" style="384"/>
    <col min="9" max="9" width="11.7109375" style="384" customWidth="1"/>
    <col min="10" max="10" width="9.140625" style="384" hidden="1" customWidth="1"/>
    <col min="11" max="11" width="18.140625" style="384" customWidth="1"/>
    <col min="12" max="16384" width="9.140625" style="384"/>
  </cols>
  <sheetData>
    <row r="1" spans="1:11" ht="15.75" hidden="1">
      <c r="A1" s="457" t="s">
        <v>386</v>
      </c>
      <c r="B1" s="457"/>
      <c r="C1" s="457"/>
      <c r="D1" s="3"/>
      <c r="E1" s="3"/>
      <c r="F1" s="3"/>
      <c r="G1" s="3"/>
      <c r="H1" s="3"/>
      <c r="I1" s="3"/>
      <c r="J1" s="3"/>
      <c r="K1" s="3"/>
    </row>
    <row r="2" spans="1:11" ht="15.75" hidden="1">
      <c r="A2" s="457"/>
      <c r="B2" s="457"/>
      <c r="C2" s="457"/>
      <c r="D2" s="401"/>
      <c r="E2" s="401"/>
      <c r="F2" s="401"/>
      <c r="G2" s="401"/>
      <c r="H2" s="401"/>
      <c r="I2" s="3"/>
      <c r="J2" s="3"/>
      <c r="K2" s="3"/>
    </row>
    <row r="3" spans="1:11" ht="11.25" hidden="1">
      <c r="A3" s="402"/>
      <c r="B3" s="402"/>
      <c r="C3" s="402"/>
      <c r="D3" s="401"/>
      <c r="E3" s="401"/>
      <c r="F3" s="401"/>
      <c r="G3" s="401"/>
      <c r="H3" s="401"/>
      <c r="I3" s="3"/>
      <c r="J3" s="3"/>
      <c r="K3" s="3"/>
    </row>
    <row r="4" spans="1:11" ht="11.25" hidden="1">
      <c r="A4" s="403" t="s">
        <v>387</v>
      </c>
      <c r="B4" s="404" t="s">
        <v>412</v>
      </c>
      <c r="C4" s="402"/>
      <c r="D4" s="458">
        <v>40003359306</v>
      </c>
      <c r="E4" s="459"/>
      <c r="F4" s="460"/>
      <c r="G4" s="401"/>
      <c r="H4" s="448" t="s">
        <v>413</v>
      </c>
      <c r="I4" s="449"/>
      <c r="J4" s="449"/>
      <c r="K4" s="450"/>
    </row>
    <row r="5" spans="1:11" ht="11.25" hidden="1">
      <c r="A5" s="403"/>
      <c r="B5" s="405" t="s">
        <v>388</v>
      </c>
      <c r="C5" s="402"/>
      <c r="D5" s="453" t="s">
        <v>389</v>
      </c>
      <c r="E5" s="453"/>
      <c r="F5" s="453"/>
      <c r="G5" s="401"/>
      <c r="H5" s="456" t="s">
        <v>390</v>
      </c>
      <c r="I5" s="456"/>
      <c r="J5" s="456"/>
      <c r="K5" s="456"/>
    </row>
    <row r="6" spans="1:11" ht="11.25" hidden="1">
      <c r="A6" s="403" t="s">
        <v>391</v>
      </c>
      <c r="B6" s="406"/>
      <c r="C6" s="402"/>
      <c r="D6" s="401"/>
      <c r="E6" s="401"/>
      <c r="F6" s="401"/>
      <c r="G6" s="401"/>
      <c r="H6" s="401"/>
      <c r="I6" s="3"/>
      <c r="J6" s="3"/>
      <c r="K6" s="3"/>
    </row>
    <row r="7" spans="1:11" ht="11.25" hidden="1">
      <c r="A7" s="403"/>
      <c r="B7" s="405" t="s">
        <v>392</v>
      </c>
      <c r="C7" s="402"/>
      <c r="D7" s="401"/>
      <c r="E7" s="401"/>
      <c r="F7" s="401"/>
      <c r="G7" s="401"/>
      <c r="H7" s="401"/>
      <c r="I7" s="3"/>
      <c r="J7" s="3"/>
      <c r="K7" s="3"/>
    </row>
    <row r="8" spans="1:11" ht="11.25" hidden="1">
      <c r="A8" s="403"/>
      <c r="B8" s="403"/>
      <c r="C8" s="402"/>
      <c r="D8" s="401"/>
      <c r="E8" s="401"/>
      <c r="F8" s="401"/>
      <c r="G8" s="401"/>
      <c r="H8" s="401"/>
      <c r="I8" s="3"/>
      <c r="J8" s="3"/>
      <c r="K8" s="3"/>
    </row>
    <row r="9" spans="1:11" ht="11.25" hidden="1">
      <c r="A9" s="403" t="s">
        <v>393</v>
      </c>
      <c r="B9" s="407"/>
      <c r="C9" s="402"/>
      <c r="D9" s="448"/>
      <c r="E9" s="449"/>
      <c r="F9" s="450"/>
      <c r="G9" s="401"/>
      <c r="H9" s="448"/>
      <c r="I9" s="449"/>
      <c r="J9" s="449"/>
      <c r="K9" s="450"/>
    </row>
    <row r="10" spans="1:11" ht="11.25" hidden="1">
      <c r="A10" s="403"/>
      <c r="B10" s="405" t="s">
        <v>388</v>
      </c>
      <c r="C10" s="3"/>
      <c r="D10" s="453" t="s">
        <v>389</v>
      </c>
      <c r="E10" s="453"/>
      <c r="F10" s="453"/>
      <c r="G10" s="3"/>
      <c r="H10" s="456" t="s">
        <v>390</v>
      </c>
      <c r="I10" s="456"/>
      <c r="J10" s="456"/>
      <c r="K10" s="456"/>
    </row>
    <row r="11" spans="1:11" ht="11.25" hidden="1">
      <c r="A11" s="403"/>
      <c r="B11" s="403"/>
      <c r="C11" s="408"/>
      <c r="D11" s="409"/>
      <c r="E11" s="5"/>
      <c r="F11" s="3"/>
      <c r="G11" s="3"/>
      <c r="H11" s="3"/>
      <c r="I11" s="3"/>
      <c r="J11" s="3"/>
      <c r="K11" s="3"/>
    </row>
    <row r="12" spans="1:11" ht="69" customHeight="1">
      <c r="A12" s="410" t="s">
        <v>394</v>
      </c>
      <c r="B12" s="441" t="s">
        <v>418</v>
      </c>
      <c r="C12" s="442"/>
      <c r="D12" s="442"/>
      <c r="E12" s="442"/>
      <c r="F12" s="442"/>
      <c r="G12" s="443"/>
      <c r="H12" s="448"/>
      <c r="I12" s="449"/>
      <c r="J12" s="449"/>
      <c r="K12" s="450"/>
    </row>
    <row r="13" spans="1:11" ht="8.25" customHeight="1">
      <c r="A13" s="410"/>
      <c r="B13" s="411"/>
      <c r="C13" s="412"/>
      <c r="D13" s="412"/>
      <c r="E13" s="3"/>
      <c r="F13" s="3"/>
      <c r="G13" s="3"/>
      <c r="H13" s="456" t="s">
        <v>395</v>
      </c>
      <c r="I13" s="456"/>
      <c r="J13" s="456"/>
      <c r="K13" s="456"/>
    </row>
    <row r="14" spans="1:11" s="385" customFormat="1" ht="11.25" hidden="1">
      <c r="A14" s="413"/>
      <c r="B14" s="413"/>
      <c r="C14" s="3"/>
      <c r="D14" s="3"/>
      <c r="E14" s="3"/>
      <c r="F14" s="3"/>
      <c r="G14" s="414"/>
      <c r="H14" s="3"/>
      <c r="I14" s="3"/>
      <c r="J14" s="3"/>
      <c r="K14" s="3"/>
    </row>
    <row r="15" spans="1:11" s="385" customFormat="1" ht="11.25" hidden="1">
      <c r="A15" s="403" t="s">
        <v>396</v>
      </c>
      <c r="B15" s="415" t="s">
        <v>409</v>
      </c>
      <c r="C15" s="416"/>
      <c r="D15" s="448" t="s">
        <v>410</v>
      </c>
      <c r="E15" s="449"/>
      <c r="F15" s="450"/>
      <c r="G15" s="417"/>
      <c r="H15" s="448" t="s">
        <v>411</v>
      </c>
      <c r="I15" s="449"/>
      <c r="J15" s="449"/>
      <c r="K15" s="450"/>
    </row>
    <row r="16" spans="1:11" s="385" customFormat="1" ht="11.25" hidden="1">
      <c r="A16" s="403"/>
      <c r="B16" s="405" t="s">
        <v>424</v>
      </c>
      <c r="C16" s="418"/>
      <c r="D16" s="453" t="s">
        <v>397</v>
      </c>
      <c r="E16" s="453"/>
      <c r="F16" s="453"/>
      <c r="G16" s="3"/>
      <c r="H16" s="456" t="s">
        <v>398</v>
      </c>
      <c r="I16" s="456"/>
      <c r="J16" s="456"/>
      <c r="K16" s="456"/>
    </row>
    <row r="17" spans="1:20" s="385" customFormat="1" ht="15" customHeight="1">
      <c r="A17" s="419"/>
      <c r="B17" s="419"/>
      <c r="C17" s="420"/>
      <c r="D17" s="3"/>
      <c r="E17" s="3"/>
      <c r="F17" s="3"/>
      <c r="G17" s="3"/>
      <c r="H17" s="3"/>
      <c r="I17" s="3"/>
      <c r="J17" s="3"/>
      <c r="K17" s="3"/>
    </row>
    <row r="18" spans="1:20" s="385" customFormat="1" ht="15" customHeight="1">
      <c r="A18" s="419"/>
      <c r="B18" s="419"/>
      <c r="C18" s="420"/>
      <c r="D18" s="3"/>
      <c r="E18" s="3"/>
      <c r="F18" s="3"/>
      <c r="G18" s="3"/>
      <c r="H18" s="3"/>
      <c r="I18" s="3"/>
      <c r="J18" s="3"/>
      <c r="K18" s="3"/>
    </row>
    <row r="19" spans="1:20" s="385" customFormat="1" ht="15" customHeight="1">
      <c r="A19" s="419"/>
      <c r="B19" s="421"/>
      <c r="C19" s="418" t="s">
        <v>399</v>
      </c>
      <c r="D19" s="3"/>
      <c r="E19" s="3"/>
      <c r="F19" s="3"/>
      <c r="G19" s="3"/>
      <c r="H19" s="3"/>
      <c r="I19" s="3"/>
      <c r="J19" s="3"/>
      <c r="K19" s="3"/>
    </row>
    <row r="20" spans="1:20" s="385" customFormat="1" ht="12.95" customHeight="1">
      <c r="A20" s="422"/>
      <c r="B20" s="455"/>
      <c r="C20" s="455"/>
      <c r="D20" s="3"/>
      <c r="E20" s="3"/>
      <c r="F20" s="3"/>
      <c r="G20" s="3"/>
      <c r="H20" s="3"/>
      <c r="I20" s="3"/>
      <c r="J20" s="3"/>
      <c r="K20" s="3"/>
    </row>
    <row r="21" spans="1:20" s="385" customFormat="1" ht="41.25" customHeight="1">
      <c r="A21" s="423" t="s">
        <v>400</v>
      </c>
      <c r="B21" s="424" t="s">
        <v>1</v>
      </c>
      <c r="C21" s="424" t="s">
        <v>401</v>
      </c>
      <c r="D21" s="3"/>
      <c r="E21" s="3"/>
      <c r="F21" s="3"/>
      <c r="G21" s="3"/>
      <c r="H21" s="3"/>
      <c r="I21" s="3"/>
      <c r="J21" s="3"/>
      <c r="K21" s="3"/>
    </row>
    <row r="22" spans="1:20" s="385" customFormat="1" ht="11.25" hidden="1">
      <c r="A22" s="425">
        <v>1</v>
      </c>
      <c r="B22" s="426">
        <v>2</v>
      </c>
      <c r="C22" s="426">
        <v>3</v>
      </c>
      <c r="D22" s="3"/>
      <c r="E22" s="3"/>
      <c r="F22" s="3"/>
      <c r="G22" s="3"/>
      <c r="H22" s="3"/>
      <c r="I22" s="3"/>
      <c r="J22" s="3"/>
      <c r="K22" s="3"/>
    </row>
    <row r="23" spans="1:20" s="385" customFormat="1" ht="15" customHeight="1">
      <c r="A23" s="427"/>
      <c r="B23" s="428"/>
      <c r="C23" s="428"/>
      <c r="D23" s="3"/>
      <c r="E23" s="3"/>
      <c r="F23" s="3"/>
      <c r="G23" s="3"/>
      <c r="H23" s="3"/>
      <c r="I23" s="3"/>
      <c r="J23" s="3"/>
      <c r="K23" s="3"/>
    </row>
    <row r="24" spans="1:20" s="385" customFormat="1" ht="27" customHeight="1">
      <c r="A24" s="429">
        <v>1</v>
      </c>
      <c r="B24" s="430" t="s">
        <v>402</v>
      </c>
      <c r="C24" s="431"/>
      <c r="D24" s="3"/>
      <c r="E24" s="3"/>
      <c r="F24" s="3"/>
      <c r="G24" s="3"/>
      <c r="H24" s="3"/>
      <c r="I24" s="3"/>
      <c r="J24" s="3"/>
      <c r="K24" s="3"/>
    </row>
    <row r="25" spans="1:20" s="385" customFormat="1" ht="15" customHeight="1">
      <c r="A25" s="432"/>
      <c r="B25" s="433" t="s">
        <v>9</v>
      </c>
      <c r="C25" s="434">
        <f>SUM(C24:C24)</f>
        <v>0</v>
      </c>
      <c r="D25" s="3"/>
      <c r="E25" s="3"/>
      <c r="F25" s="3"/>
      <c r="G25" s="3"/>
      <c r="H25" s="3"/>
      <c r="I25" s="3"/>
      <c r="J25" s="3"/>
      <c r="K25" s="3"/>
    </row>
    <row r="26" spans="1:20" s="385" customFormat="1" ht="15" customHeight="1">
      <c r="A26" s="444" t="s">
        <v>403</v>
      </c>
      <c r="B26" s="445"/>
      <c r="C26" s="435">
        <f>ROUND(C25*21%,2)</f>
        <v>0</v>
      </c>
      <c r="D26" s="3"/>
      <c r="E26" s="3"/>
      <c r="F26" s="3"/>
      <c r="G26" s="3"/>
      <c r="H26" s="3"/>
      <c r="I26" s="3"/>
      <c r="J26" s="3"/>
      <c r="K26" s="3"/>
    </row>
    <row r="27" spans="1:20" s="385" customFormat="1" ht="15" customHeight="1">
      <c r="A27" s="446" t="s">
        <v>404</v>
      </c>
      <c r="B27" s="447"/>
      <c r="C27" s="434">
        <f>SUM(C25:C26)</f>
        <v>0</v>
      </c>
      <c r="D27" s="3"/>
      <c r="E27" s="3"/>
      <c r="F27" s="3"/>
      <c r="G27" s="3"/>
      <c r="H27" s="3"/>
      <c r="I27" s="3"/>
      <c r="J27" s="3"/>
      <c r="K27" s="3"/>
    </row>
    <row r="28" spans="1:20" s="385" customFormat="1" ht="15" customHeight="1">
      <c r="A28" s="419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20" s="385" customFormat="1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20" ht="15" customHeight="1">
      <c r="A30" s="436" t="s">
        <v>405</v>
      </c>
      <c r="B30" s="407"/>
      <c r="C30" s="437"/>
      <c r="D30" s="448"/>
      <c r="E30" s="449"/>
      <c r="F30" s="450"/>
      <c r="G30" s="437"/>
      <c r="H30" s="451"/>
      <c r="I30" s="452"/>
      <c r="J30" s="437"/>
      <c r="K30" s="437"/>
      <c r="L30" s="386"/>
      <c r="M30" s="386"/>
      <c r="N30" s="386"/>
      <c r="O30" s="386"/>
      <c r="P30" s="386"/>
      <c r="Q30" s="386"/>
      <c r="R30" s="386"/>
      <c r="S30" s="386"/>
      <c r="T30" s="387"/>
    </row>
    <row r="31" spans="1:20" ht="15" customHeight="1">
      <c r="A31" s="438"/>
      <c r="B31" s="405" t="s">
        <v>406</v>
      </c>
      <c r="C31" s="437"/>
      <c r="D31" s="453" t="s">
        <v>407</v>
      </c>
      <c r="E31" s="453"/>
      <c r="F31" s="453"/>
      <c r="G31" s="437"/>
      <c r="H31" s="454" t="s">
        <v>408</v>
      </c>
      <c r="I31" s="454"/>
      <c r="J31" s="437"/>
      <c r="K31" s="437"/>
      <c r="L31" s="386"/>
      <c r="M31" s="386"/>
      <c r="N31" s="386"/>
      <c r="O31" s="386"/>
      <c r="P31" s="386"/>
      <c r="Q31" s="386"/>
      <c r="R31" s="386"/>
      <c r="S31" s="386"/>
      <c r="T31" s="387"/>
    </row>
    <row r="32" spans="1:20" ht="15" customHeight="1">
      <c r="A32" s="438"/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386"/>
      <c r="M32" s="386"/>
      <c r="N32" s="386"/>
      <c r="O32" s="386"/>
      <c r="P32" s="386"/>
      <c r="Q32" s="386"/>
      <c r="R32" s="386"/>
      <c r="S32" s="386"/>
      <c r="T32" s="387"/>
    </row>
    <row r="33" spans="1:20" ht="15" customHeight="1">
      <c r="A33" s="438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386"/>
      <c r="M33" s="386"/>
      <c r="N33" s="386"/>
      <c r="O33" s="386"/>
      <c r="P33" s="386"/>
      <c r="Q33" s="386"/>
      <c r="R33" s="386"/>
      <c r="S33" s="386"/>
      <c r="T33" s="387"/>
    </row>
    <row r="34" spans="1:20" ht="15" customHeight="1">
      <c r="A34" s="438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386"/>
      <c r="M34" s="386"/>
      <c r="N34" s="386"/>
      <c r="O34" s="386"/>
      <c r="P34" s="386"/>
      <c r="Q34" s="386"/>
      <c r="R34" s="386"/>
      <c r="S34" s="386"/>
      <c r="T34" s="387"/>
    </row>
    <row r="35" spans="1:20" ht="15" customHeight="1">
      <c r="A35" s="438"/>
      <c r="B35" s="439"/>
      <c r="C35" s="439"/>
      <c r="D35" s="439"/>
      <c r="E35" s="439"/>
      <c r="F35" s="439"/>
      <c r="G35" s="439"/>
      <c r="H35" s="439"/>
      <c r="I35" s="439"/>
      <c r="J35" s="439"/>
      <c r="K35" s="439"/>
      <c r="L35" s="388"/>
      <c r="M35" s="388"/>
      <c r="N35" s="388"/>
      <c r="O35" s="388"/>
      <c r="P35" s="388"/>
      <c r="Q35" s="388"/>
      <c r="R35" s="388"/>
      <c r="S35" s="388"/>
      <c r="T35" s="389"/>
    </row>
    <row r="36" spans="1:20" ht="15" customHeight="1">
      <c r="A36" s="440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20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20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20" ht="15" customHeight="1">
      <c r="A39" s="390"/>
      <c r="B39" s="390"/>
      <c r="C39" s="390"/>
    </row>
    <row r="40" spans="1:20" ht="15" customHeight="1">
      <c r="A40" s="390"/>
      <c r="B40" s="390"/>
      <c r="C40" s="390"/>
    </row>
    <row r="41" spans="1:20" ht="15" customHeight="1">
      <c r="A41" s="390"/>
      <c r="B41" s="390"/>
      <c r="C41" s="390"/>
    </row>
    <row r="42" spans="1:20" ht="15" customHeight="1"/>
    <row r="43" spans="1:20" ht="15" customHeight="1"/>
  </sheetData>
  <sheetProtection selectLockedCells="1" selectUnlockedCells="1"/>
  <mergeCells count="23">
    <mergeCell ref="A1:C1"/>
    <mergeCell ref="A2:C2"/>
    <mergeCell ref="D4:F4"/>
    <mergeCell ref="H4:K4"/>
    <mergeCell ref="D5:F5"/>
    <mergeCell ref="H5:K5"/>
    <mergeCell ref="B20:C20"/>
    <mergeCell ref="D9:F9"/>
    <mergeCell ref="H9:K9"/>
    <mergeCell ref="D10:F10"/>
    <mergeCell ref="H10:K10"/>
    <mergeCell ref="H12:K12"/>
    <mergeCell ref="H13:K13"/>
    <mergeCell ref="D15:F15"/>
    <mergeCell ref="H15:K15"/>
    <mergeCell ref="D16:F16"/>
    <mergeCell ref="H16:K16"/>
    <mergeCell ref="A26:B26"/>
    <mergeCell ref="A27:B27"/>
    <mergeCell ref="D30:F30"/>
    <mergeCell ref="H30:I30"/>
    <mergeCell ref="D31:F31"/>
    <mergeCell ref="H31:I31"/>
  </mergeCells>
  <pageMargins left="0.59055118110236227" right="0.19685039370078741" top="0.62992125984251968" bottom="0.98425196850393704" header="0.51181102362204722" footer="0.51181102362204722"/>
  <pageSetup paperSize="9" firstPageNumber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76"/>
  <sheetViews>
    <sheetView workbookViewId="0">
      <selection activeCell="C23" sqref="C23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6.85546875" style="37" customWidth="1"/>
    <col min="6" max="6" width="7" style="36" customWidth="1"/>
    <col min="7" max="8" width="8.14062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20">
      <c r="A1" s="481" t="s">
        <v>116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20">
      <c r="A2" s="482" t="s">
        <v>121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20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 s="27" customFormat="1">
      <c r="A4" s="27" t="str">
        <f>Kopsavilkums!A4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20" s="27" customFormat="1">
      <c r="A5" s="27" t="str">
        <f>Kopsavilkums!A5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20" s="27" customFormat="1">
      <c r="A6" s="27" t="str">
        <f>Kopsavilkums!A6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20" s="33" customFormat="1">
      <c r="H7" s="191"/>
      <c r="I7" s="118"/>
      <c r="J7" s="118"/>
      <c r="K7" s="118"/>
      <c r="L7" s="118"/>
      <c r="M7" s="118"/>
      <c r="N7" s="118"/>
      <c r="O7" s="118"/>
      <c r="P7" s="118"/>
    </row>
    <row r="8" spans="1:20">
      <c r="A8" s="34"/>
      <c r="B8" s="34"/>
      <c r="F8" s="38"/>
      <c r="K8" s="118"/>
      <c r="L8" s="119" t="s">
        <v>76</v>
      </c>
      <c r="M8" s="118"/>
      <c r="N8" s="483" t="e">
        <f>P71</f>
        <v>#VALUE!</v>
      </c>
      <c r="O8" s="483"/>
      <c r="P8" s="118"/>
    </row>
    <row r="9" spans="1:20">
      <c r="A9" s="34"/>
      <c r="B9" s="34"/>
      <c r="F9" s="38"/>
      <c r="L9" s="40" t="str">
        <f>Kopsavilkums!E10</f>
        <v>Tāme sastādīta: 2017. gada .........</v>
      </c>
      <c r="M9" s="41"/>
      <c r="N9" s="120"/>
      <c r="O9" s="41"/>
      <c r="P9" s="41"/>
    </row>
    <row r="10" spans="1:20">
      <c r="A10" s="42"/>
      <c r="B10" s="42"/>
      <c r="C10" s="43"/>
      <c r="L10" s="118"/>
      <c r="M10" s="118"/>
      <c r="N10" s="118"/>
      <c r="O10" s="118"/>
    </row>
    <row r="11" spans="1:20" s="33" customFormat="1" ht="13.5" thickBot="1">
      <c r="A11" s="488" t="s">
        <v>17</v>
      </c>
      <c r="B11" s="491" t="s">
        <v>11</v>
      </c>
      <c r="C11" s="470" t="s">
        <v>12</v>
      </c>
      <c r="D11" s="473" t="s">
        <v>18</v>
      </c>
      <c r="E11" s="476" t="s">
        <v>19</v>
      </c>
      <c r="F11" s="479" t="s">
        <v>13</v>
      </c>
      <c r="G11" s="479"/>
      <c r="H11" s="479"/>
      <c r="I11" s="479"/>
      <c r="J11" s="479"/>
      <c r="K11" s="479"/>
      <c r="L11" s="484" t="s">
        <v>14</v>
      </c>
      <c r="M11" s="484"/>
      <c r="N11" s="484"/>
      <c r="O11" s="484"/>
      <c r="P11" s="485"/>
    </row>
    <row r="12" spans="1:20" s="33" customFormat="1" ht="13.5" thickBot="1">
      <c r="A12" s="489"/>
      <c r="B12" s="492"/>
      <c r="C12" s="471"/>
      <c r="D12" s="474"/>
      <c r="E12" s="477"/>
      <c r="F12" s="480"/>
      <c r="G12" s="480"/>
      <c r="H12" s="480"/>
      <c r="I12" s="480"/>
      <c r="J12" s="480"/>
      <c r="K12" s="480"/>
      <c r="L12" s="486" t="s">
        <v>20</v>
      </c>
      <c r="M12" s="486"/>
      <c r="N12" s="486" t="s">
        <v>21</v>
      </c>
      <c r="O12" s="486"/>
      <c r="P12" s="487" t="s">
        <v>22</v>
      </c>
    </row>
    <row r="13" spans="1:20" s="33" customFormat="1" ht="45">
      <c r="A13" s="490"/>
      <c r="B13" s="493"/>
      <c r="C13" s="472"/>
      <c r="D13" s="475"/>
      <c r="E13" s="478"/>
      <c r="F13" s="97" t="s">
        <v>23</v>
      </c>
      <c r="G13" s="97" t="s">
        <v>70</v>
      </c>
      <c r="H13" s="97" t="s">
        <v>71</v>
      </c>
      <c r="I13" s="97" t="s">
        <v>72</v>
      </c>
      <c r="J13" s="98" t="s">
        <v>73</v>
      </c>
      <c r="K13" s="98" t="s">
        <v>74</v>
      </c>
      <c r="L13" s="99" t="s">
        <v>24</v>
      </c>
      <c r="M13" s="97" t="s">
        <v>71</v>
      </c>
      <c r="N13" s="97" t="s">
        <v>72</v>
      </c>
      <c r="O13" s="98" t="s">
        <v>73</v>
      </c>
      <c r="P13" s="100" t="s">
        <v>75</v>
      </c>
    </row>
    <row r="14" spans="1:20" s="33" customFormat="1">
      <c r="A14" s="96" t="s">
        <v>68</v>
      </c>
      <c r="B14" s="96" t="s">
        <v>69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20" s="105" customFormat="1">
      <c r="A15" s="46"/>
      <c r="B15" s="7"/>
      <c r="C15" s="124" t="s">
        <v>128</v>
      </c>
      <c r="D15" s="131"/>
      <c r="E15" s="131"/>
      <c r="F15" s="227"/>
      <c r="G15" s="228"/>
      <c r="H15" s="147"/>
      <c r="I15" s="229"/>
      <c r="J15" s="229"/>
      <c r="K15" s="229"/>
      <c r="L15" s="228"/>
      <c r="M15" s="229"/>
      <c r="N15" s="229"/>
      <c r="O15" s="229"/>
      <c r="P15" s="229"/>
      <c r="R15" s="113"/>
      <c r="S15" s="113"/>
      <c r="T15" s="113"/>
    </row>
    <row r="16" spans="1:20" s="105" customFormat="1">
      <c r="A16" s="46">
        <v>1</v>
      </c>
      <c r="B16" s="7" t="s">
        <v>54</v>
      </c>
      <c r="C16" s="129" t="s">
        <v>144</v>
      </c>
      <c r="D16" s="132" t="s">
        <v>127</v>
      </c>
      <c r="E16" s="124">
        <v>286</v>
      </c>
      <c r="F16" s="229"/>
      <c r="G16" s="229"/>
      <c r="H16" s="229">
        <f t="shared" ref="H16:H19" si="1">ROUND(G16*F16,2)</f>
        <v>0</v>
      </c>
      <c r="I16" s="229"/>
      <c r="J16" s="229"/>
      <c r="K16" s="229">
        <f t="shared" ref="K16:K19" si="2">H16+I16+J16</f>
        <v>0</v>
      </c>
      <c r="L16" s="229">
        <f t="shared" ref="L16:L19" si="3">ROUND(E16*F16,2)</f>
        <v>0</v>
      </c>
      <c r="M16" s="229">
        <f t="shared" ref="M16:M19" si="4">ROUND(E16*H16,2)</f>
        <v>0</v>
      </c>
      <c r="N16" s="229"/>
      <c r="O16" s="229">
        <f t="shared" ref="O16:O19" si="5">ROUND(E16*J16,2)</f>
        <v>0</v>
      </c>
      <c r="P16" s="229">
        <f t="shared" ref="P16:P19" si="6">O16+N16+M16</f>
        <v>0</v>
      </c>
      <c r="R16" s="113"/>
      <c r="S16" s="113"/>
      <c r="T16" s="113"/>
    </row>
    <row r="17" spans="1:20" s="105" customFormat="1">
      <c r="A17" s="46">
        <v>2</v>
      </c>
      <c r="B17" s="7" t="s">
        <v>54</v>
      </c>
      <c r="C17" s="129" t="s">
        <v>145</v>
      </c>
      <c r="D17" s="132" t="s">
        <v>129</v>
      </c>
      <c r="E17" s="124">
        <v>1</v>
      </c>
      <c r="F17" s="229"/>
      <c r="G17" s="229"/>
      <c r="H17" s="229">
        <f t="shared" si="1"/>
        <v>0</v>
      </c>
      <c r="I17" s="229"/>
      <c r="J17" s="229"/>
      <c r="K17" s="229">
        <f t="shared" si="2"/>
        <v>0</v>
      </c>
      <c r="L17" s="229">
        <f t="shared" si="3"/>
        <v>0</v>
      </c>
      <c r="M17" s="229">
        <f t="shared" si="4"/>
        <v>0</v>
      </c>
      <c r="N17" s="229"/>
      <c r="O17" s="229">
        <f t="shared" si="5"/>
        <v>0</v>
      </c>
      <c r="P17" s="229">
        <f t="shared" si="6"/>
        <v>0</v>
      </c>
      <c r="R17" s="113"/>
      <c r="S17" s="113"/>
      <c r="T17" s="113"/>
    </row>
    <row r="18" spans="1:20" s="105" customFormat="1" ht="25.5">
      <c r="A18" s="46">
        <v>3</v>
      </c>
      <c r="B18" s="7" t="s">
        <v>132</v>
      </c>
      <c r="C18" s="123" t="s">
        <v>238</v>
      </c>
      <c r="D18" s="132" t="s">
        <v>129</v>
      </c>
      <c r="E18" s="135">
        <v>6</v>
      </c>
      <c r="F18" s="229"/>
      <c r="G18" s="229"/>
      <c r="H18" s="229">
        <f t="shared" si="1"/>
        <v>0</v>
      </c>
      <c r="I18" s="229"/>
      <c r="J18" s="229"/>
      <c r="K18" s="229">
        <f t="shared" si="2"/>
        <v>0</v>
      </c>
      <c r="L18" s="229">
        <f t="shared" si="3"/>
        <v>0</v>
      </c>
      <c r="M18" s="229">
        <f t="shared" si="4"/>
        <v>0</v>
      </c>
      <c r="N18" s="229">
        <f t="shared" ref="N18:N19" si="7">ROUND(E18*I18,2)</f>
        <v>0</v>
      </c>
      <c r="O18" s="229">
        <f t="shared" si="5"/>
        <v>0</v>
      </c>
      <c r="P18" s="229">
        <f t="shared" si="6"/>
        <v>0</v>
      </c>
      <c r="R18" s="113"/>
      <c r="S18" s="113"/>
      <c r="T18" s="113"/>
    </row>
    <row r="19" spans="1:20" s="105" customFormat="1" ht="25.5">
      <c r="A19" s="46">
        <v>4</v>
      </c>
      <c r="B19" s="7" t="s">
        <v>132</v>
      </c>
      <c r="C19" s="123" t="s">
        <v>224</v>
      </c>
      <c r="D19" s="132" t="s">
        <v>129</v>
      </c>
      <c r="E19" s="135">
        <v>68</v>
      </c>
      <c r="F19" s="229"/>
      <c r="G19" s="229"/>
      <c r="H19" s="229">
        <f t="shared" si="1"/>
        <v>0</v>
      </c>
      <c r="I19" s="229"/>
      <c r="J19" s="229"/>
      <c r="K19" s="229">
        <f t="shared" si="2"/>
        <v>0</v>
      </c>
      <c r="L19" s="229">
        <f t="shared" si="3"/>
        <v>0</v>
      </c>
      <c r="M19" s="229">
        <f t="shared" si="4"/>
        <v>0</v>
      </c>
      <c r="N19" s="229">
        <f t="shared" si="7"/>
        <v>0</v>
      </c>
      <c r="O19" s="229">
        <f t="shared" si="5"/>
        <v>0</v>
      </c>
      <c r="P19" s="229">
        <f t="shared" si="6"/>
        <v>0</v>
      </c>
      <c r="R19" s="113"/>
      <c r="S19" s="113"/>
      <c r="T19" s="113"/>
    </row>
    <row r="20" spans="1:20" s="105" customFormat="1" ht="25.5">
      <c r="A20" s="46">
        <v>5</v>
      </c>
      <c r="B20" s="7" t="s">
        <v>132</v>
      </c>
      <c r="C20" s="123" t="s">
        <v>240</v>
      </c>
      <c r="D20" s="132" t="s">
        <v>129</v>
      </c>
      <c r="E20" s="135">
        <v>73</v>
      </c>
      <c r="F20" s="229"/>
      <c r="G20" s="229"/>
      <c r="H20" s="229">
        <f t="shared" ref="H20:H52" si="8">ROUND(G20*F20,2)</f>
        <v>0</v>
      </c>
      <c r="I20" s="229"/>
      <c r="J20" s="229"/>
      <c r="K20" s="229">
        <f t="shared" ref="K20:K52" si="9">H20+I20+J20</f>
        <v>0</v>
      </c>
      <c r="L20" s="229">
        <f t="shared" ref="L20:L52" si="10">ROUND(E20*F20,2)</f>
        <v>0</v>
      </c>
      <c r="M20" s="229">
        <f t="shared" ref="M20:M52" si="11">ROUND(E20*H20,2)</f>
        <v>0</v>
      </c>
      <c r="N20" s="229">
        <f t="shared" ref="N20:N52" si="12">ROUND(E20*I20,2)</f>
        <v>0</v>
      </c>
      <c r="O20" s="229">
        <f t="shared" ref="O20:O52" si="13">ROUND(E20*J20,2)</f>
        <v>0</v>
      </c>
      <c r="P20" s="229">
        <f t="shared" ref="P20:P52" si="14">O20+N20+M20</f>
        <v>0</v>
      </c>
      <c r="R20" s="113"/>
      <c r="S20" s="113"/>
      <c r="T20" s="113"/>
    </row>
    <row r="21" spans="1:20" s="105" customFormat="1" ht="25.5">
      <c r="A21" s="46">
        <v>6</v>
      </c>
      <c r="B21" s="7" t="s">
        <v>132</v>
      </c>
      <c r="C21" s="123" t="s">
        <v>225</v>
      </c>
      <c r="D21" s="132" t="s">
        <v>129</v>
      </c>
      <c r="E21" s="135">
        <v>25</v>
      </c>
      <c r="F21" s="229"/>
      <c r="G21" s="229"/>
      <c r="H21" s="229">
        <f t="shared" si="8"/>
        <v>0</v>
      </c>
      <c r="I21" s="229"/>
      <c r="J21" s="229"/>
      <c r="K21" s="229">
        <f t="shared" si="9"/>
        <v>0</v>
      </c>
      <c r="L21" s="229">
        <f t="shared" si="10"/>
        <v>0</v>
      </c>
      <c r="M21" s="229">
        <f t="shared" si="11"/>
        <v>0</v>
      </c>
      <c r="N21" s="229">
        <f t="shared" si="12"/>
        <v>0</v>
      </c>
      <c r="O21" s="229">
        <f t="shared" si="13"/>
        <v>0</v>
      </c>
      <c r="P21" s="229">
        <f t="shared" si="14"/>
        <v>0</v>
      </c>
      <c r="R21" s="113"/>
      <c r="S21" s="113"/>
      <c r="T21" s="113"/>
    </row>
    <row r="22" spans="1:20" s="105" customFormat="1" ht="25.5">
      <c r="A22" s="46">
        <v>7</v>
      </c>
      <c r="B22" s="7" t="s">
        <v>132</v>
      </c>
      <c r="C22" s="123" t="s">
        <v>241</v>
      </c>
      <c r="D22" s="132" t="s">
        <v>129</v>
      </c>
      <c r="E22" s="135">
        <v>26</v>
      </c>
      <c r="F22" s="229"/>
      <c r="G22" s="229"/>
      <c r="H22" s="229">
        <f t="shared" si="8"/>
        <v>0</v>
      </c>
      <c r="I22" s="229"/>
      <c r="J22" s="229"/>
      <c r="K22" s="229">
        <f t="shared" si="9"/>
        <v>0</v>
      </c>
      <c r="L22" s="229">
        <f t="shared" si="10"/>
        <v>0</v>
      </c>
      <c r="M22" s="229">
        <f t="shared" si="11"/>
        <v>0</v>
      </c>
      <c r="N22" s="229">
        <f t="shared" si="12"/>
        <v>0</v>
      </c>
      <c r="O22" s="229">
        <f t="shared" si="13"/>
        <v>0</v>
      </c>
      <c r="P22" s="229">
        <f t="shared" si="14"/>
        <v>0</v>
      </c>
      <c r="R22" s="113"/>
      <c r="S22" s="113"/>
      <c r="T22" s="113"/>
    </row>
    <row r="23" spans="1:20" s="105" customFormat="1" ht="25.5">
      <c r="A23" s="46">
        <v>8</v>
      </c>
      <c r="B23" s="7" t="s">
        <v>132</v>
      </c>
      <c r="C23" s="123" t="s">
        <v>226</v>
      </c>
      <c r="D23" s="132" t="s">
        <v>129</v>
      </c>
      <c r="E23" s="135">
        <v>11</v>
      </c>
      <c r="F23" s="229"/>
      <c r="G23" s="229"/>
      <c r="H23" s="229">
        <f t="shared" si="8"/>
        <v>0</v>
      </c>
      <c r="I23" s="229"/>
      <c r="J23" s="229"/>
      <c r="K23" s="229">
        <f t="shared" si="9"/>
        <v>0</v>
      </c>
      <c r="L23" s="229">
        <f t="shared" si="10"/>
        <v>0</v>
      </c>
      <c r="M23" s="229">
        <f t="shared" si="11"/>
        <v>0</v>
      </c>
      <c r="N23" s="229">
        <f t="shared" si="12"/>
        <v>0</v>
      </c>
      <c r="O23" s="229">
        <f t="shared" si="13"/>
        <v>0</v>
      </c>
      <c r="P23" s="229">
        <f t="shared" si="14"/>
        <v>0</v>
      </c>
      <c r="R23" s="113"/>
      <c r="S23" s="113"/>
      <c r="T23" s="113"/>
    </row>
    <row r="24" spans="1:20" s="105" customFormat="1" ht="25.5">
      <c r="A24" s="46">
        <v>9</v>
      </c>
      <c r="B24" s="7" t="s">
        <v>132</v>
      </c>
      <c r="C24" s="123" t="s">
        <v>242</v>
      </c>
      <c r="D24" s="132" t="s">
        <v>129</v>
      </c>
      <c r="E24" s="135">
        <v>2</v>
      </c>
      <c r="F24" s="229"/>
      <c r="G24" s="229"/>
      <c r="H24" s="229">
        <f t="shared" ref="H24:H25" si="15">ROUND(G24*F24,2)</f>
        <v>0</v>
      </c>
      <c r="I24" s="229"/>
      <c r="J24" s="229"/>
      <c r="K24" s="229">
        <f t="shared" ref="K24:K25" si="16">H24+I24+J24</f>
        <v>0</v>
      </c>
      <c r="L24" s="229">
        <f t="shared" ref="L24:L25" si="17">ROUND(E24*F24,2)</f>
        <v>0</v>
      </c>
      <c r="M24" s="229">
        <f t="shared" ref="M24:M25" si="18">ROUND(E24*H24,2)</f>
        <v>0</v>
      </c>
      <c r="N24" s="229">
        <f t="shared" ref="N24:N25" si="19">ROUND(E24*I24,2)</f>
        <v>0</v>
      </c>
      <c r="O24" s="229">
        <f t="shared" ref="O24:O25" si="20">ROUND(E24*J24,2)</f>
        <v>0</v>
      </c>
      <c r="P24" s="229">
        <f t="shared" ref="P24:P25" si="21">O24+N24+M24</f>
        <v>0</v>
      </c>
      <c r="R24" s="113"/>
      <c r="S24" s="113"/>
      <c r="T24" s="113"/>
    </row>
    <row r="25" spans="1:20" s="105" customFormat="1" ht="25.5">
      <c r="A25" s="46">
        <v>10</v>
      </c>
      <c r="B25" s="7" t="s">
        <v>132</v>
      </c>
      <c r="C25" s="123" t="s">
        <v>223</v>
      </c>
      <c r="D25" s="132" t="s">
        <v>129</v>
      </c>
      <c r="E25" s="135">
        <v>1</v>
      </c>
      <c r="F25" s="229"/>
      <c r="G25" s="229"/>
      <c r="H25" s="229">
        <f t="shared" si="15"/>
        <v>0</v>
      </c>
      <c r="I25" s="229"/>
      <c r="J25" s="229"/>
      <c r="K25" s="229">
        <f t="shared" si="16"/>
        <v>0</v>
      </c>
      <c r="L25" s="229">
        <f t="shared" si="17"/>
        <v>0</v>
      </c>
      <c r="M25" s="229">
        <f t="shared" si="18"/>
        <v>0</v>
      </c>
      <c r="N25" s="229">
        <f t="shared" si="19"/>
        <v>0</v>
      </c>
      <c r="O25" s="229">
        <f t="shared" si="20"/>
        <v>0</v>
      </c>
      <c r="P25" s="229">
        <f t="shared" si="21"/>
        <v>0</v>
      </c>
      <c r="R25" s="113"/>
      <c r="S25" s="113"/>
      <c r="T25" s="113"/>
    </row>
    <row r="26" spans="1:20" s="105" customFormat="1" ht="25.5">
      <c r="A26" s="46">
        <v>11</v>
      </c>
      <c r="B26" s="7" t="s">
        <v>132</v>
      </c>
      <c r="C26" s="123" t="s">
        <v>243</v>
      </c>
      <c r="D26" s="132" t="s">
        <v>129</v>
      </c>
      <c r="E26" s="135">
        <v>1</v>
      </c>
      <c r="F26" s="229"/>
      <c r="G26" s="229"/>
      <c r="H26" s="229">
        <f t="shared" ref="H26:H28" si="22">ROUND(G26*F26,2)</f>
        <v>0</v>
      </c>
      <c r="I26" s="229"/>
      <c r="J26" s="229"/>
      <c r="K26" s="229">
        <f t="shared" ref="K26:K28" si="23">H26+I26+J26</f>
        <v>0</v>
      </c>
      <c r="L26" s="229">
        <f t="shared" ref="L26:L29" si="24">ROUND(E26*F26,2)</f>
        <v>0</v>
      </c>
      <c r="M26" s="229">
        <f t="shared" ref="M26:M28" si="25">ROUND(E26*H26,2)</f>
        <v>0</v>
      </c>
      <c r="N26" s="229">
        <f t="shared" ref="N26:N29" si="26">ROUND(E26*I26,2)</f>
        <v>0</v>
      </c>
      <c r="O26" s="229">
        <f t="shared" ref="O26:O29" si="27">ROUND(E26*J26,2)</f>
        <v>0</v>
      </c>
      <c r="P26" s="229">
        <f t="shared" ref="P26:P28" si="28">O26+N26+M26</f>
        <v>0</v>
      </c>
      <c r="R26" s="113"/>
      <c r="S26" s="113"/>
      <c r="T26" s="113"/>
    </row>
    <row r="27" spans="1:20" s="105" customFormat="1" ht="25.5">
      <c r="A27" s="46">
        <v>12</v>
      </c>
      <c r="B27" s="7" t="s">
        <v>132</v>
      </c>
      <c r="C27" s="310" t="s">
        <v>352</v>
      </c>
      <c r="D27" s="132" t="s">
        <v>129</v>
      </c>
      <c r="E27" s="135">
        <v>6</v>
      </c>
      <c r="F27" s="229"/>
      <c r="G27" s="229"/>
      <c r="H27" s="229">
        <f t="shared" si="22"/>
        <v>0</v>
      </c>
      <c r="I27" s="229"/>
      <c r="J27" s="229"/>
      <c r="K27" s="229">
        <f t="shared" si="23"/>
        <v>0</v>
      </c>
      <c r="L27" s="229">
        <f t="shared" si="24"/>
        <v>0</v>
      </c>
      <c r="M27" s="229">
        <f t="shared" si="25"/>
        <v>0</v>
      </c>
      <c r="N27" s="229">
        <f t="shared" si="26"/>
        <v>0</v>
      </c>
      <c r="O27" s="229">
        <f t="shared" si="27"/>
        <v>0</v>
      </c>
      <c r="P27" s="229">
        <f t="shared" si="28"/>
        <v>0</v>
      </c>
      <c r="R27" s="113"/>
      <c r="S27" s="113"/>
      <c r="T27" s="113"/>
    </row>
    <row r="28" spans="1:20" s="105" customFormat="1" ht="25.5">
      <c r="A28" s="46">
        <v>13</v>
      </c>
      <c r="B28" s="7" t="s">
        <v>132</v>
      </c>
      <c r="C28" s="310" t="s">
        <v>353</v>
      </c>
      <c r="D28" s="132" t="s">
        <v>129</v>
      </c>
      <c r="E28" s="135">
        <v>6</v>
      </c>
      <c r="F28" s="229"/>
      <c r="G28" s="229"/>
      <c r="H28" s="229">
        <f t="shared" si="22"/>
        <v>0</v>
      </c>
      <c r="I28" s="229"/>
      <c r="J28" s="229"/>
      <c r="K28" s="229">
        <f t="shared" si="23"/>
        <v>0</v>
      </c>
      <c r="L28" s="229">
        <f t="shared" si="24"/>
        <v>0</v>
      </c>
      <c r="M28" s="229">
        <f t="shared" si="25"/>
        <v>0</v>
      </c>
      <c r="N28" s="229">
        <f t="shared" si="26"/>
        <v>0</v>
      </c>
      <c r="O28" s="229">
        <f t="shared" si="27"/>
        <v>0</v>
      </c>
      <c r="P28" s="229">
        <f t="shared" si="28"/>
        <v>0</v>
      </c>
      <c r="R28" s="113"/>
      <c r="S28" s="113"/>
      <c r="T28" s="113"/>
    </row>
    <row r="29" spans="1:20" s="105" customFormat="1">
      <c r="A29" s="46">
        <v>14</v>
      </c>
      <c r="B29" s="7" t="s">
        <v>132</v>
      </c>
      <c r="C29" s="310" t="s">
        <v>239</v>
      </c>
      <c r="D29" s="132" t="s">
        <v>127</v>
      </c>
      <c r="E29" s="135">
        <v>6</v>
      </c>
      <c r="F29" s="229"/>
      <c r="G29" s="229"/>
      <c r="H29" s="229"/>
      <c r="I29" s="229"/>
      <c r="J29" s="229"/>
      <c r="K29" s="229"/>
      <c r="L29" s="229">
        <f t="shared" si="24"/>
        <v>0</v>
      </c>
      <c r="M29" s="229"/>
      <c r="N29" s="229">
        <f t="shared" si="26"/>
        <v>0</v>
      </c>
      <c r="O29" s="229">
        <f t="shared" si="27"/>
        <v>0</v>
      </c>
      <c r="P29" s="229"/>
      <c r="R29" s="113"/>
      <c r="S29" s="113"/>
      <c r="T29" s="113"/>
    </row>
    <row r="30" spans="1:20" s="105" customFormat="1">
      <c r="A30" s="46">
        <v>15</v>
      </c>
      <c r="B30" s="7" t="s">
        <v>132</v>
      </c>
      <c r="C30" s="126" t="s">
        <v>222</v>
      </c>
      <c r="D30" s="132" t="s">
        <v>129</v>
      </c>
      <c r="E30" s="125">
        <v>280</v>
      </c>
      <c r="F30" s="229"/>
      <c r="G30" s="229"/>
      <c r="H30" s="229">
        <f t="shared" ref="H30" si="29">ROUND(G30*F30,2)</f>
        <v>0</v>
      </c>
      <c r="I30" s="229"/>
      <c r="J30" s="229"/>
      <c r="K30" s="229">
        <f t="shared" ref="K30" si="30">H30+I30+J30</f>
        <v>0</v>
      </c>
      <c r="L30" s="229">
        <f t="shared" ref="L30" si="31">ROUND(E30*F30,2)</f>
        <v>0</v>
      </c>
      <c r="M30" s="229">
        <f t="shared" ref="M30" si="32">ROUND(E30*H30,2)</f>
        <v>0</v>
      </c>
      <c r="N30" s="229">
        <f t="shared" ref="N30" si="33">ROUND(E30*I30,2)</f>
        <v>0</v>
      </c>
      <c r="O30" s="229">
        <f t="shared" ref="O30" si="34">ROUND(E30*J30,2)</f>
        <v>0</v>
      </c>
      <c r="P30" s="229">
        <f t="shared" ref="P30" si="35">O30+N30+M30</f>
        <v>0</v>
      </c>
      <c r="R30" s="113"/>
      <c r="S30" s="113"/>
      <c r="T30" s="113"/>
    </row>
    <row r="31" spans="1:20" s="105" customFormat="1">
      <c r="A31" s="46">
        <v>16</v>
      </c>
      <c r="B31" s="7" t="s">
        <v>132</v>
      </c>
      <c r="C31" s="126" t="s">
        <v>245</v>
      </c>
      <c r="D31" s="132" t="s">
        <v>129</v>
      </c>
      <c r="E31" s="136">
        <v>286</v>
      </c>
      <c r="F31" s="229"/>
      <c r="G31" s="229"/>
      <c r="H31" s="229">
        <f t="shared" si="8"/>
        <v>0</v>
      </c>
      <c r="I31" s="229"/>
      <c r="J31" s="229"/>
      <c r="K31" s="229">
        <f t="shared" si="9"/>
        <v>0</v>
      </c>
      <c r="L31" s="229">
        <f t="shared" si="10"/>
        <v>0</v>
      </c>
      <c r="M31" s="229">
        <f t="shared" si="11"/>
        <v>0</v>
      </c>
      <c r="N31" s="229">
        <f t="shared" si="12"/>
        <v>0</v>
      </c>
      <c r="O31" s="229">
        <f t="shared" si="13"/>
        <v>0</v>
      </c>
      <c r="P31" s="229">
        <f t="shared" si="14"/>
        <v>0</v>
      </c>
      <c r="R31" s="113"/>
      <c r="S31" s="113"/>
      <c r="T31" s="113"/>
    </row>
    <row r="32" spans="1:20" s="105" customFormat="1">
      <c r="A32" s="46">
        <v>17</v>
      </c>
      <c r="B32" s="7" t="s">
        <v>132</v>
      </c>
      <c r="C32" s="126" t="s">
        <v>246</v>
      </c>
      <c r="D32" s="132" t="s">
        <v>129</v>
      </c>
      <c r="E32" s="136">
        <v>286</v>
      </c>
      <c r="F32" s="229"/>
      <c r="G32" s="229"/>
      <c r="H32" s="229">
        <f t="shared" si="8"/>
        <v>0</v>
      </c>
      <c r="I32" s="229"/>
      <c r="J32" s="229"/>
      <c r="K32" s="229">
        <f t="shared" si="9"/>
        <v>0</v>
      </c>
      <c r="L32" s="229">
        <f t="shared" si="10"/>
        <v>0</v>
      </c>
      <c r="M32" s="229">
        <f t="shared" si="11"/>
        <v>0</v>
      </c>
      <c r="N32" s="229">
        <f t="shared" si="12"/>
        <v>0</v>
      </c>
      <c r="O32" s="229">
        <f t="shared" si="13"/>
        <v>0</v>
      </c>
      <c r="P32" s="229">
        <f t="shared" si="14"/>
        <v>0</v>
      </c>
      <c r="R32" s="113"/>
      <c r="S32" s="113"/>
      <c r="T32" s="113"/>
    </row>
    <row r="33" spans="1:20" s="105" customFormat="1" ht="25.5">
      <c r="A33" s="46">
        <v>18</v>
      </c>
      <c r="B33" s="7" t="s">
        <v>132</v>
      </c>
      <c r="C33" s="126" t="s">
        <v>354</v>
      </c>
      <c r="D33" s="132" t="s">
        <v>127</v>
      </c>
      <c r="E33" s="136">
        <v>280</v>
      </c>
      <c r="F33" s="229"/>
      <c r="G33" s="229"/>
      <c r="H33" s="229">
        <f t="shared" ref="H33:H37" si="36">ROUND(G33*F33,2)</f>
        <v>0</v>
      </c>
      <c r="I33" s="229"/>
      <c r="J33" s="229"/>
      <c r="K33" s="229">
        <f t="shared" ref="K33:K37" si="37">H33+I33+J33</f>
        <v>0</v>
      </c>
      <c r="L33" s="229">
        <f t="shared" ref="L33:L37" si="38">ROUND(E33*F33,2)</f>
        <v>0</v>
      </c>
      <c r="M33" s="229">
        <f t="shared" ref="M33:M37" si="39">ROUND(E33*H33,2)</f>
        <v>0</v>
      </c>
      <c r="N33" s="229">
        <f t="shared" ref="N33:N37" si="40">ROUND(E33*I33,2)</f>
        <v>0</v>
      </c>
      <c r="O33" s="229">
        <f t="shared" ref="O33:O37" si="41">ROUND(E33*J33,2)</f>
        <v>0</v>
      </c>
      <c r="P33" s="229">
        <f t="shared" ref="P33:P37" si="42">O33+N33+M33</f>
        <v>0</v>
      </c>
      <c r="R33" s="113"/>
      <c r="S33" s="113"/>
      <c r="T33" s="113"/>
    </row>
    <row r="34" spans="1:20" s="105" customFormat="1" ht="25.5">
      <c r="A34" s="46">
        <v>19</v>
      </c>
      <c r="B34" s="7" t="s">
        <v>132</v>
      </c>
      <c r="C34" s="126" t="s">
        <v>355</v>
      </c>
      <c r="D34" s="132" t="s">
        <v>127</v>
      </c>
      <c r="E34" s="136">
        <v>6</v>
      </c>
      <c r="F34" s="229"/>
      <c r="G34" s="229"/>
      <c r="H34" s="229">
        <f t="shared" si="36"/>
        <v>0</v>
      </c>
      <c r="I34" s="229"/>
      <c r="J34" s="229"/>
      <c r="K34" s="229">
        <f t="shared" si="37"/>
        <v>0</v>
      </c>
      <c r="L34" s="229">
        <f t="shared" si="38"/>
        <v>0</v>
      </c>
      <c r="M34" s="229">
        <f t="shared" si="39"/>
        <v>0</v>
      </c>
      <c r="N34" s="229">
        <f t="shared" si="40"/>
        <v>0</v>
      </c>
      <c r="O34" s="229">
        <f t="shared" si="41"/>
        <v>0</v>
      </c>
      <c r="P34" s="229">
        <f t="shared" si="42"/>
        <v>0</v>
      </c>
      <c r="R34" s="113"/>
      <c r="S34" s="113"/>
      <c r="T34" s="113"/>
    </row>
    <row r="35" spans="1:20" s="105" customFormat="1">
      <c r="A35" s="46">
        <v>20</v>
      </c>
      <c r="B35" s="7" t="s">
        <v>132</v>
      </c>
      <c r="C35" s="126" t="s">
        <v>356</v>
      </c>
      <c r="D35" s="132" t="s">
        <v>127</v>
      </c>
      <c r="E35" s="136">
        <v>4</v>
      </c>
      <c r="F35" s="229"/>
      <c r="G35" s="229"/>
      <c r="H35" s="229">
        <f t="shared" si="36"/>
        <v>0</v>
      </c>
      <c r="I35" s="229"/>
      <c r="J35" s="229"/>
      <c r="K35" s="229">
        <f t="shared" si="37"/>
        <v>0</v>
      </c>
      <c r="L35" s="229">
        <f t="shared" si="38"/>
        <v>0</v>
      </c>
      <c r="M35" s="229">
        <f t="shared" si="39"/>
        <v>0</v>
      </c>
      <c r="N35" s="229">
        <f t="shared" si="40"/>
        <v>0</v>
      </c>
      <c r="O35" s="229">
        <f t="shared" si="41"/>
        <v>0</v>
      </c>
      <c r="P35" s="229">
        <f t="shared" si="42"/>
        <v>0</v>
      </c>
      <c r="R35" s="113"/>
      <c r="S35" s="113"/>
      <c r="T35" s="113"/>
    </row>
    <row r="36" spans="1:20" s="105" customFormat="1">
      <c r="A36" s="46">
        <v>21</v>
      </c>
      <c r="B36" s="7" t="s">
        <v>132</v>
      </c>
      <c r="C36" s="126" t="s">
        <v>357</v>
      </c>
      <c r="D36" s="132" t="s">
        <v>127</v>
      </c>
      <c r="E36" s="136">
        <v>51</v>
      </c>
      <c r="F36" s="229"/>
      <c r="G36" s="229"/>
      <c r="H36" s="229">
        <f t="shared" si="36"/>
        <v>0</v>
      </c>
      <c r="I36" s="229"/>
      <c r="J36" s="229"/>
      <c r="K36" s="229">
        <f t="shared" si="37"/>
        <v>0</v>
      </c>
      <c r="L36" s="229">
        <f t="shared" si="38"/>
        <v>0</v>
      </c>
      <c r="M36" s="229">
        <f t="shared" si="39"/>
        <v>0</v>
      </c>
      <c r="N36" s="229">
        <f t="shared" si="40"/>
        <v>0</v>
      </c>
      <c r="O36" s="229">
        <f t="shared" si="41"/>
        <v>0</v>
      </c>
      <c r="P36" s="229">
        <f t="shared" si="42"/>
        <v>0</v>
      </c>
      <c r="R36" s="113"/>
      <c r="S36" s="113"/>
      <c r="T36" s="113"/>
    </row>
    <row r="37" spans="1:20" s="105" customFormat="1">
      <c r="A37" s="46">
        <v>22</v>
      </c>
      <c r="B37" s="7" t="s">
        <v>132</v>
      </c>
      <c r="C37" s="126" t="s">
        <v>358</v>
      </c>
      <c r="D37" s="132" t="s">
        <v>127</v>
      </c>
      <c r="E37" s="136">
        <v>5</v>
      </c>
      <c r="F37" s="229"/>
      <c r="G37" s="229"/>
      <c r="H37" s="229">
        <f t="shared" si="36"/>
        <v>0</v>
      </c>
      <c r="I37" s="229"/>
      <c r="J37" s="229"/>
      <c r="K37" s="229">
        <f t="shared" si="37"/>
        <v>0</v>
      </c>
      <c r="L37" s="229">
        <f t="shared" si="38"/>
        <v>0</v>
      </c>
      <c r="M37" s="229">
        <f t="shared" si="39"/>
        <v>0</v>
      </c>
      <c r="N37" s="229">
        <f t="shared" si="40"/>
        <v>0</v>
      </c>
      <c r="O37" s="229">
        <f t="shared" si="41"/>
        <v>0</v>
      </c>
      <c r="P37" s="229">
        <f t="shared" si="42"/>
        <v>0</v>
      </c>
      <c r="R37" s="113"/>
      <c r="S37" s="113"/>
      <c r="T37" s="113"/>
    </row>
    <row r="38" spans="1:20" s="105" customFormat="1">
      <c r="A38" s="46">
        <v>23</v>
      </c>
      <c r="B38" s="7" t="s">
        <v>132</v>
      </c>
      <c r="C38" s="312" t="s">
        <v>366</v>
      </c>
      <c r="D38" s="311" t="s">
        <v>127</v>
      </c>
      <c r="E38" s="313">
        <v>4</v>
      </c>
      <c r="F38" s="229"/>
      <c r="G38" s="229"/>
      <c r="H38" s="229">
        <f t="shared" ref="H38:H47" si="43">ROUND(G38*F38,2)</f>
        <v>0</v>
      </c>
      <c r="I38" s="229"/>
      <c r="J38" s="229"/>
      <c r="K38" s="229">
        <f t="shared" ref="K38:K47" si="44">H38+I38+J38</f>
        <v>0</v>
      </c>
      <c r="L38" s="229">
        <f t="shared" ref="L38:L47" si="45">ROUND(E38*F38,2)</f>
        <v>0</v>
      </c>
      <c r="M38" s="229">
        <f t="shared" ref="M38:M47" si="46">ROUND(E38*H38,2)</f>
        <v>0</v>
      </c>
      <c r="N38" s="229">
        <f t="shared" ref="N38:N47" si="47">ROUND(E38*I38,2)</f>
        <v>0</v>
      </c>
      <c r="O38" s="229">
        <f t="shared" ref="O38:O47" si="48">ROUND(E38*J38,2)</f>
        <v>0</v>
      </c>
      <c r="P38" s="229">
        <f t="shared" ref="P38:P47" si="49">O38+N38+M38</f>
        <v>0</v>
      </c>
      <c r="R38" s="113"/>
      <c r="S38" s="113"/>
      <c r="T38" s="113"/>
    </row>
    <row r="39" spans="1:20" s="105" customFormat="1">
      <c r="A39" s="46">
        <v>24</v>
      </c>
      <c r="B39" s="7" t="s">
        <v>132</v>
      </c>
      <c r="C39" s="312" t="s">
        <v>367</v>
      </c>
      <c r="D39" s="311" t="s">
        <v>127</v>
      </c>
      <c r="E39" s="313">
        <v>51</v>
      </c>
      <c r="F39" s="229"/>
      <c r="G39" s="229"/>
      <c r="H39" s="229">
        <f t="shared" si="43"/>
        <v>0</v>
      </c>
      <c r="I39" s="229"/>
      <c r="J39" s="229"/>
      <c r="K39" s="229">
        <f t="shared" si="44"/>
        <v>0</v>
      </c>
      <c r="L39" s="229">
        <f t="shared" si="45"/>
        <v>0</v>
      </c>
      <c r="M39" s="229">
        <f t="shared" si="46"/>
        <v>0</v>
      </c>
      <c r="N39" s="229">
        <f t="shared" si="47"/>
        <v>0</v>
      </c>
      <c r="O39" s="229">
        <f t="shared" si="48"/>
        <v>0</v>
      </c>
      <c r="P39" s="229">
        <f t="shared" si="49"/>
        <v>0</v>
      </c>
      <c r="R39" s="113"/>
      <c r="S39" s="113"/>
      <c r="T39" s="113"/>
    </row>
    <row r="40" spans="1:20" s="105" customFormat="1">
      <c r="A40" s="46">
        <v>25</v>
      </c>
      <c r="B40" s="7" t="s">
        <v>132</v>
      </c>
      <c r="C40" s="312" t="s">
        <v>368</v>
      </c>
      <c r="D40" s="311" t="s">
        <v>127</v>
      </c>
      <c r="E40" s="313">
        <v>5</v>
      </c>
      <c r="F40" s="229"/>
      <c r="G40" s="229"/>
      <c r="H40" s="229">
        <f t="shared" si="43"/>
        <v>0</v>
      </c>
      <c r="I40" s="229"/>
      <c r="J40" s="229"/>
      <c r="K40" s="229">
        <f t="shared" si="44"/>
        <v>0</v>
      </c>
      <c r="L40" s="229">
        <f t="shared" si="45"/>
        <v>0</v>
      </c>
      <c r="M40" s="229">
        <f t="shared" si="46"/>
        <v>0</v>
      </c>
      <c r="N40" s="229">
        <f t="shared" si="47"/>
        <v>0</v>
      </c>
      <c r="O40" s="229">
        <f t="shared" si="48"/>
        <v>0</v>
      </c>
      <c r="P40" s="229">
        <f t="shared" si="49"/>
        <v>0</v>
      </c>
      <c r="R40" s="113"/>
      <c r="S40" s="113"/>
      <c r="T40" s="113"/>
    </row>
    <row r="41" spans="1:20" s="105" customFormat="1" ht="25.5">
      <c r="A41" s="46">
        <v>26</v>
      </c>
      <c r="B41" s="7" t="s">
        <v>132</v>
      </c>
      <c r="C41" s="312" t="s">
        <v>359</v>
      </c>
      <c r="D41" s="311" t="s">
        <v>127</v>
      </c>
      <c r="E41" s="313">
        <v>31</v>
      </c>
      <c r="F41" s="229"/>
      <c r="G41" s="229"/>
      <c r="H41" s="229">
        <f t="shared" si="43"/>
        <v>0</v>
      </c>
      <c r="I41" s="229"/>
      <c r="J41" s="229"/>
      <c r="K41" s="229">
        <f t="shared" si="44"/>
        <v>0</v>
      </c>
      <c r="L41" s="229">
        <f t="shared" si="45"/>
        <v>0</v>
      </c>
      <c r="M41" s="229">
        <f t="shared" si="46"/>
        <v>0</v>
      </c>
      <c r="N41" s="229">
        <f t="shared" si="47"/>
        <v>0</v>
      </c>
      <c r="O41" s="229">
        <f t="shared" si="48"/>
        <v>0</v>
      </c>
      <c r="P41" s="229">
        <f t="shared" si="49"/>
        <v>0</v>
      </c>
      <c r="R41" s="113"/>
      <c r="S41" s="113"/>
      <c r="T41" s="113"/>
    </row>
    <row r="42" spans="1:20" s="105" customFormat="1">
      <c r="A42" s="46">
        <v>27</v>
      </c>
      <c r="B42" s="7" t="s">
        <v>132</v>
      </c>
      <c r="C42" s="312" t="s">
        <v>360</v>
      </c>
      <c r="D42" s="311" t="s">
        <v>127</v>
      </c>
      <c r="E42" s="313">
        <v>62</v>
      </c>
      <c r="F42" s="229"/>
      <c r="G42" s="229"/>
      <c r="H42" s="229">
        <f t="shared" si="43"/>
        <v>0</v>
      </c>
      <c r="I42" s="229"/>
      <c r="J42" s="229"/>
      <c r="K42" s="229">
        <f t="shared" si="44"/>
        <v>0</v>
      </c>
      <c r="L42" s="229">
        <f t="shared" si="45"/>
        <v>0</v>
      </c>
      <c r="M42" s="229">
        <f t="shared" si="46"/>
        <v>0</v>
      </c>
      <c r="N42" s="229">
        <f t="shared" si="47"/>
        <v>0</v>
      </c>
      <c r="O42" s="229">
        <f t="shared" si="48"/>
        <v>0</v>
      </c>
      <c r="P42" s="229">
        <f t="shared" si="49"/>
        <v>0</v>
      </c>
      <c r="R42" s="113"/>
      <c r="S42" s="113"/>
      <c r="T42" s="113"/>
    </row>
    <row r="43" spans="1:20" s="105" customFormat="1">
      <c r="A43" s="46">
        <v>28</v>
      </c>
      <c r="B43" s="7" t="s">
        <v>132</v>
      </c>
      <c r="C43" s="312" t="s">
        <v>361</v>
      </c>
      <c r="D43" s="311" t="s">
        <v>127</v>
      </c>
      <c r="E43" s="313">
        <v>31</v>
      </c>
      <c r="F43" s="229"/>
      <c r="G43" s="229"/>
      <c r="H43" s="229">
        <f t="shared" si="43"/>
        <v>0</v>
      </c>
      <c r="I43" s="229"/>
      <c r="J43" s="229"/>
      <c r="K43" s="229">
        <f t="shared" si="44"/>
        <v>0</v>
      </c>
      <c r="L43" s="229">
        <f t="shared" si="45"/>
        <v>0</v>
      </c>
      <c r="M43" s="229">
        <f t="shared" si="46"/>
        <v>0</v>
      </c>
      <c r="N43" s="229">
        <f t="shared" si="47"/>
        <v>0</v>
      </c>
      <c r="O43" s="229">
        <f t="shared" si="48"/>
        <v>0</v>
      </c>
      <c r="P43" s="229">
        <f t="shared" si="49"/>
        <v>0</v>
      </c>
      <c r="R43" s="113"/>
      <c r="S43" s="113"/>
      <c r="T43" s="113"/>
    </row>
    <row r="44" spans="1:20" s="105" customFormat="1">
      <c r="A44" s="46">
        <v>29</v>
      </c>
      <c r="B44" s="7" t="s">
        <v>132</v>
      </c>
      <c r="C44" s="312" t="s">
        <v>362</v>
      </c>
      <c r="D44" s="311" t="s">
        <v>127</v>
      </c>
      <c r="E44" s="313">
        <v>31</v>
      </c>
      <c r="F44" s="229"/>
      <c r="G44" s="229"/>
      <c r="H44" s="229">
        <f t="shared" si="43"/>
        <v>0</v>
      </c>
      <c r="I44" s="229"/>
      <c r="J44" s="229"/>
      <c r="K44" s="229">
        <f t="shared" si="44"/>
        <v>0</v>
      </c>
      <c r="L44" s="229">
        <f t="shared" si="45"/>
        <v>0</v>
      </c>
      <c r="M44" s="229">
        <f t="shared" si="46"/>
        <v>0</v>
      </c>
      <c r="N44" s="229">
        <f t="shared" si="47"/>
        <v>0</v>
      </c>
      <c r="O44" s="229">
        <f t="shared" si="48"/>
        <v>0</v>
      </c>
      <c r="P44" s="229">
        <f t="shared" si="49"/>
        <v>0</v>
      </c>
      <c r="R44" s="113"/>
      <c r="S44" s="113"/>
      <c r="T44" s="113"/>
    </row>
    <row r="45" spans="1:20" s="105" customFormat="1">
      <c r="A45" s="46">
        <v>30</v>
      </c>
      <c r="B45" s="7" t="s">
        <v>132</v>
      </c>
      <c r="C45" s="312" t="s">
        <v>363</v>
      </c>
      <c r="D45" s="311" t="s">
        <v>127</v>
      </c>
      <c r="E45" s="313">
        <v>2</v>
      </c>
      <c r="F45" s="229"/>
      <c r="G45" s="229"/>
      <c r="H45" s="229">
        <f t="shared" si="43"/>
        <v>0</v>
      </c>
      <c r="I45" s="229"/>
      <c r="J45" s="229"/>
      <c r="K45" s="229">
        <f t="shared" si="44"/>
        <v>0</v>
      </c>
      <c r="L45" s="229">
        <f t="shared" si="45"/>
        <v>0</v>
      </c>
      <c r="M45" s="229">
        <f t="shared" si="46"/>
        <v>0</v>
      </c>
      <c r="N45" s="229">
        <f t="shared" si="47"/>
        <v>0</v>
      </c>
      <c r="O45" s="229">
        <f t="shared" si="48"/>
        <v>0</v>
      </c>
      <c r="P45" s="229">
        <f t="shared" si="49"/>
        <v>0</v>
      </c>
      <c r="R45" s="113"/>
      <c r="S45" s="113"/>
      <c r="T45" s="113"/>
    </row>
    <row r="46" spans="1:20" s="105" customFormat="1">
      <c r="A46" s="46">
        <v>31</v>
      </c>
      <c r="B46" s="7" t="s">
        <v>132</v>
      </c>
      <c r="C46" s="312" t="s">
        <v>364</v>
      </c>
      <c r="D46" s="311" t="s">
        <v>127</v>
      </c>
      <c r="E46" s="313">
        <v>2</v>
      </c>
      <c r="F46" s="229"/>
      <c r="G46" s="229"/>
      <c r="H46" s="229">
        <f t="shared" si="43"/>
        <v>0</v>
      </c>
      <c r="I46" s="229"/>
      <c r="J46" s="229"/>
      <c r="K46" s="229">
        <f t="shared" si="44"/>
        <v>0</v>
      </c>
      <c r="L46" s="229">
        <f t="shared" si="45"/>
        <v>0</v>
      </c>
      <c r="M46" s="229">
        <f t="shared" si="46"/>
        <v>0</v>
      </c>
      <c r="N46" s="229">
        <f t="shared" si="47"/>
        <v>0</v>
      </c>
      <c r="O46" s="229">
        <f t="shared" si="48"/>
        <v>0</v>
      </c>
      <c r="P46" s="229">
        <f t="shared" si="49"/>
        <v>0</v>
      </c>
      <c r="R46" s="113"/>
      <c r="S46" s="113"/>
      <c r="T46" s="113"/>
    </row>
    <row r="47" spans="1:20" s="105" customFormat="1">
      <c r="A47" s="46">
        <v>32</v>
      </c>
      <c r="B47" s="7" t="s">
        <v>132</v>
      </c>
      <c r="C47" s="312" t="s">
        <v>365</v>
      </c>
      <c r="D47" s="311" t="s">
        <v>37</v>
      </c>
      <c r="E47" s="313">
        <v>850</v>
      </c>
      <c r="F47" s="229"/>
      <c r="G47" s="229"/>
      <c r="H47" s="229">
        <f t="shared" si="43"/>
        <v>0</v>
      </c>
      <c r="I47" s="229"/>
      <c r="J47" s="229"/>
      <c r="K47" s="229">
        <f t="shared" si="44"/>
        <v>0</v>
      </c>
      <c r="L47" s="229">
        <f t="shared" si="45"/>
        <v>0</v>
      </c>
      <c r="M47" s="229">
        <f t="shared" si="46"/>
        <v>0</v>
      </c>
      <c r="N47" s="229">
        <f t="shared" si="47"/>
        <v>0</v>
      </c>
      <c r="O47" s="229">
        <f t="shared" si="48"/>
        <v>0</v>
      </c>
      <c r="P47" s="229">
        <f t="shared" si="49"/>
        <v>0</v>
      </c>
      <c r="R47" s="113"/>
      <c r="S47" s="113"/>
      <c r="T47" s="113"/>
    </row>
    <row r="48" spans="1:20" s="105" customFormat="1">
      <c r="A48" s="46">
        <v>33</v>
      </c>
      <c r="B48" s="7" t="s">
        <v>132</v>
      </c>
      <c r="C48" s="126" t="s">
        <v>162</v>
      </c>
      <c r="D48" s="132" t="s">
        <v>129</v>
      </c>
      <c r="E48" s="125">
        <v>10</v>
      </c>
      <c r="F48" s="229"/>
      <c r="G48" s="229"/>
      <c r="H48" s="229">
        <f t="shared" si="8"/>
        <v>0</v>
      </c>
      <c r="I48" s="229"/>
      <c r="J48" s="229"/>
      <c r="K48" s="229">
        <f t="shared" si="9"/>
        <v>0</v>
      </c>
      <c r="L48" s="229">
        <f t="shared" si="10"/>
        <v>0</v>
      </c>
      <c r="M48" s="229">
        <f t="shared" si="11"/>
        <v>0</v>
      </c>
      <c r="N48" s="229">
        <f t="shared" si="12"/>
        <v>0</v>
      </c>
      <c r="O48" s="229">
        <f t="shared" si="13"/>
        <v>0</v>
      </c>
      <c r="P48" s="229">
        <f t="shared" si="14"/>
        <v>0</v>
      </c>
      <c r="R48" s="113"/>
      <c r="S48" s="113"/>
      <c r="T48" s="113"/>
    </row>
    <row r="49" spans="1:20" s="105" customFormat="1">
      <c r="A49" s="46">
        <v>34</v>
      </c>
      <c r="B49" s="7" t="s">
        <v>132</v>
      </c>
      <c r="C49" s="126" t="s">
        <v>369</v>
      </c>
      <c r="D49" s="132" t="s">
        <v>129</v>
      </c>
      <c r="E49" s="125">
        <v>8</v>
      </c>
      <c r="F49" s="229"/>
      <c r="G49" s="229"/>
      <c r="H49" s="229">
        <f t="shared" si="8"/>
        <v>0</v>
      </c>
      <c r="I49" s="229"/>
      <c r="J49" s="229"/>
      <c r="K49" s="229">
        <f t="shared" si="9"/>
        <v>0</v>
      </c>
      <c r="L49" s="229">
        <f t="shared" si="10"/>
        <v>0</v>
      </c>
      <c r="M49" s="229">
        <f t="shared" si="11"/>
        <v>0</v>
      </c>
      <c r="N49" s="229">
        <f t="shared" si="12"/>
        <v>0</v>
      </c>
      <c r="O49" s="229">
        <f t="shared" si="13"/>
        <v>0</v>
      </c>
      <c r="P49" s="229">
        <f t="shared" si="14"/>
        <v>0</v>
      </c>
      <c r="R49" s="113"/>
      <c r="S49" s="113"/>
      <c r="T49" s="113"/>
    </row>
    <row r="50" spans="1:20" s="105" customFormat="1">
      <c r="A50" s="46">
        <v>35</v>
      </c>
      <c r="B50" s="7" t="s">
        <v>132</v>
      </c>
      <c r="C50" s="126" t="s">
        <v>370</v>
      </c>
      <c r="D50" s="132" t="s">
        <v>129</v>
      </c>
      <c r="E50" s="125">
        <v>2</v>
      </c>
      <c r="F50" s="229"/>
      <c r="G50" s="229"/>
      <c r="H50" s="229">
        <f t="shared" ref="H50" si="50">ROUND(G50*F50,2)</f>
        <v>0</v>
      </c>
      <c r="I50" s="229"/>
      <c r="J50" s="229"/>
      <c r="K50" s="229">
        <f t="shared" ref="K50" si="51">H50+I50+J50</f>
        <v>0</v>
      </c>
      <c r="L50" s="229">
        <f t="shared" ref="L50" si="52">ROUND(E50*F50,2)</f>
        <v>0</v>
      </c>
      <c r="M50" s="229">
        <f t="shared" ref="M50" si="53">ROUND(E50*H50,2)</f>
        <v>0</v>
      </c>
      <c r="N50" s="229">
        <f t="shared" ref="N50" si="54">ROUND(E50*I50,2)</f>
        <v>0</v>
      </c>
      <c r="O50" s="229">
        <f t="shared" ref="O50" si="55">ROUND(E50*J50,2)</f>
        <v>0</v>
      </c>
      <c r="P50" s="229">
        <f t="shared" ref="P50" si="56">O50+N50+M50</f>
        <v>0</v>
      </c>
      <c r="R50" s="113"/>
      <c r="S50" s="113"/>
      <c r="T50" s="113"/>
    </row>
    <row r="51" spans="1:20" s="105" customFormat="1">
      <c r="A51" s="46">
        <v>36</v>
      </c>
      <c r="B51" s="7" t="s">
        <v>132</v>
      </c>
      <c r="C51" s="126" t="s">
        <v>220</v>
      </c>
      <c r="D51" s="132" t="s">
        <v>37</v>
      </c>
      <c r="E51" s="125">
        <v>290</v>
      </c>
      <c r="F51" s="229"/>
      <c r="G51" s="229"/>
      <c r="H51" s="229">
        <f t="shared" si="8"/>
        <v>0</v>
      </c>
      <c r="I51" s="229"/>
      <c r="J51" s="229"/>
      <c r="K51" s="229">
        <f t="shared" si="9"/>
        <v>0</v>
      </c>
      <c r="L51" s="229">
        <f t="shared" si="10"/>
        <v>0</v>
      </c>
      <c r="M51" s="229">
        <f t="shared" si="11"/>
        <v>0</v>
      </c>
      <c r="N51" s="229">
        <f t="shared" si="12"/>
        <v>0</v>
      </c>
      <c r="O51" s="229">
        <f t="shared" si="13"/>
        <v>0</v>
      </c>
      <c r="P51" s="229">
        <f t="shared" si="14"/>
        <v>0</v>
      </c>
      <c r="R51" s="113"/>
      <c r="S51" s="113"/>
      <c r="T51" s="113"/>
    </row>
    <row r="52" spans="1:20" s="105" customFormat="1">
      <c r="A52" s="46">
        <v>37</v>
      </c>
      <c r="B52" s="7" t="s">
        <v>132</v>
      </c>
      <c r="C52" s="126" t="s">
        <v>221</v>
      </c>
      <c r="D52" s="132" t="s">
        <v>37</v>
      </c>
      <c r="E52" s="127">
        <v>520</v>
      </c>
      <c r="F52" s="229"/>
      <c r="G52" s="229"/>
      <c r="H52" s="229">
        <f t="shared" si="8"/>
        <v>0</v>
      </c>
      <c r="I52" s="229"/>
      <c r="J52" s="229"/>
      <c r="K52" s="229">
        <f t="shared" si="9"/>
        <v>0</v>
      </c>
      <c r="L52" s="229">
        <f t="shared" si="10"/>
        <v>0</v>
      </c>
      <c r="M52" s="229">
        <f t="shared" si="11"/>
        <v>0</v>
      </c>
      <c r="N52" s="229">
        <f t="shared" si="12"/>
        <v>0</v>
      </c>
      <c r="O52" s="229">
        <f t="shared" si="13"/>
        <v>0</v>
      </c>
      <c r="P52" s="229">
        <f t="shared" si="14"/>
        <v>0</v>
      </c>
      <c r="R52" s="113"/>
      <c r="S52" s="113"/>
      <c r="T52" s="113"/>
    </row>
    <row r="53" spans="1:20" s="105" customFormat="1">
      <c r="A53" s="46">
        <v>38</v>
      </c>
      <c r="B53" s="7" t="s">
        <v>132</v>
      </c>
      <c r="C53" s="126" t="s">
        <v>163</v>
      </c>
      <c r="D53" s="132" t="s">
        <v>37</v>
      </c>
      <c r="E53" s="127">
        <v>160</v>
      </c>
      <c r="F53" s="229"/>
      <c r="G53" s="229"/>
      <c r="H53" s="229">
        <f t="shared" ref="H53:H61" si="57">ROUND(G53*F53,2)</f>
        <v>0</v>
      </c>
      <c r="I53" s="229"/>
      <c r="J53" s="229"/>
      <c r="K53" s="229">
        <f t="shared" ref="K53:K61" si="58">H53+I53+J53</f>
        <v>0</v>
      </c>
      <c r="L53" s="229">
        <f t="shared" ref="L53:L61" si="59">ROUND(E53*F53,2)</f>
        <v>0</v>
      </c>
      <c r="M53" s="229">
        <f t="shared" ref="M53:M61" si="60">ROUND(E53*H53,2)</f>
        <v>0</v>
      </c>
      <c r="N53" s="229">
        <f t="shared" ref="N53:N61" si="61">ROUND(E53*I53,2)</f>
        <v>0</v>
      </c>
      <c r="O53" s="229">
        <f t="shared" ref="O53:O61" si="62">ROUND(E53*J53,2)</f>
        <v>0</v>
      </c>
      <c r="P53" s="229">
        <f t="shared" ref="P53:P61" si="63">O53+N53+M53</f>
        <v>0</v>
      </c>
      <c r="R53" s="113"/>
      <c r="S53" s="113"/>
      <c r="T53" s="113"/>
    </row>
    <row r="54" spans="1:20" s="105" customFormat="1">
      <c r="A54" s="46">
        <v>39</v>
      </c>
      <c r="B54" s="7" t="s">
        <v>132</v>
      </c>
      <c r="C54" s="126" t="s">
        <v>371</v>
      </c>
      <c r="D54" s="132" t="s">
        <v>37</v>
      </c>
      <c r="E54" s="127">
        <v>180</v>
      </c>
      <c r="F54" s="229"/>
      <c r="G54" s="229"/>
      <c r="H54" s="229">
        <f t="shared" ref="H54:H56" si="64">ROUND(G54*F54,2)</f>
        <v>0</v>
      </c>
      <c r="I54" s="229"/>
      <c r="J54" s="229"/>
      <c r="K54" s="229">
        <f t="shared" ref="K54:K56" si="65">H54+I54+J54</f>
        <v>0</v>
      </c>
      <c r="L54" s="229">
        <f t="shared" ref="L54:L56" si="66">ROUND(E54*F54,2)</f>
        <v>0</v>
      </c>
      <c r="M54" s="229">
        <f t="shared" ref="M54:M56" si="67">ROUND(E54*H54,2)</f>
        <v>0</v>
      </c>
      <c r="N54" s="229">
        <f t="shared" ref="N54:N56" si="68">ROUND(E54*I54,2)</f>
        <v>0</v>
      </c>
      <c r="O54" s="229">
        <f t="shared" ref="O54:O56" si="69">ROUND(E54*J54,2)</f>
        <v>0</v>
      </c>
      <c r="P54" s="229">
        <f t="shared" ref="P54:P56" si="70">O54+N54+M54</f>
        <v>0</v>
      </c>
      <c r="R54" s="113"/>
      <c r="S54" s="113"/>
      <c r="T54" s="113"/>
    </row>
    <row r="55" spans="1:20" s="105" customFormat="1">
      <c r="A55" s="46">
        <v>40</v>
      </c>
      <c r="B55" s="7" t="s">
        <v>132</v>
      </c>
      <c r="C55" s="126" t="s">
        <v>372</v>
      </c>
      <c r="D55" s="132" t="s">
        <v>37</v>
      </c>
      <c r="E55" s="127">
        <v>140</v>
      </c>
      <c r="F55" s="229"/>
      <c r="G55" s="229"/>
      <c r="H55" s="229">
        <f t="shared" si="64"/>
        <v>0</v>
      </c>
      <c r="I55" s="229"/>
      <c r="J55" s="229"/>
      <c r="K55" s="229">
        <f t="shared" si="65"/>
        <v>0</v>
      </c>
      <c r="L55" s="229">
        <f t="shared" si="66"/>
        <v>0</v>
      </c>
      <c r="M55" s="229">
        <f t="shared" si="67"/>
        <v>0</v>
      </c>
      <c r="N55" s="229">
        <f t="shared" si="68"/>
        <v>0</v>
      </c>
      <c r="O55" s="229">
        <f t="shared" si="69"/>
        <v>0</v>
      </c>
      <c r="P55" s="229">
        <f t="shared" si="70"/>
        <v>0</v>
      </c>
      <c r="R55" s="113"/>
      <c r="S55" s="113"/>
      <c r="T55" s="113"/>
    </row>
    <row r="56" spans="1:20" s="105" customFormat="1">
      <c r="A56" s="46">
        <v>41</v>
      </c>
      <c r="B56" s="7" t="s">
        <v>132</v>
      </c>
      <c r="C56" s="126" t="s">
        <v>373</v>
      </c>
      <c r="D56" s="132" t="s">
        <v>37</v>
      </c>
      <c r="E56" s="127">
        <v>90</v>
      </c>
      <c r="F56" s="229"/>
      <c r="G56" s="229"/>
      <c r="H56" s="229">
        <f t="shared" si="64"/>
        <v>0</v>
      </c>
      <c r="I56" s="229"/>
      <c r="J56" s="229"/>
      <c r="K56" s="229">
        <f t="shared" si="65"/>
        <v>0</v>
      </c>
      <c r="L56" s="229">
        <f t="shared" si="66"/>
        <v>0</v>
      </c>
      <c r="M56" s="229">
        <f t="shared" si="67"/>
        <v>0</v>
      </c>
      <c r="N56" s="229">
        <f t="shared" si="68"/>
        <v>0</v>
      </c>
      <c r="O56" s="229">
        <f t="shared" si="69"/>
        <v>0</v>
      </c>
      <c r="P56" s="229">
        <f t="shared" si="70"/>
        <v>0</v>
      </c>
      <c r="R56" s="113"/>
      <c r="S56" s="113"/>
      <c r="T56" s="113"/>
    </row>
    <row r="57" spans="1:20" s="105" customFormat="1">
      <c r="A57" s="46">
        <v>42</v>
      </c>
      <c r="B57" s="7" t="s">
        <v>132</v>
      </c>
      <c r="C57" s="126" t="s">
        <v>374</v>
      </c>
      <c r="D57" s="132" t="s">
        <v>37</v>
      </c>
      <c r="E57" s="127">
        <v>50</v>
      </c>
      <c r="F57" s="229"/>
      <c r="G57" s="229"/>
      <c r="H57" s="229">
        <f t="shared" ref="H57:H58" si="71">ROUND(G57*F57,2)</f>
        <v>0</v>
      </c>
      <c r="I57" s="229"/>
      <c r="J57" s="229"/>
      <c r="K57" s="229">
        <f t="shared" ref="K57:K58" si="72">H57+I57+J57</f>
        <v>0</v>
      </c>
      <c r="L57" s="229">
        <f t="shared" ref="L57:L58" si="73">ROUND(E57*F57,2)</f>
        <v>0</v>
      </c>
      <c r="M57" s="229">
        <f t="shared" ref="M57:M58" si="74">ROUND(E57*H57,2)</f>
        <v>0</v>
      </c>
      <c r="N57" s="229">
        <f t="shared" ref="N57:N58" si="75">ROUND(E57*I57,2)</f>
        <v>0</v>
      </c>
      <c r="O57" s="229">
        <f t="shared" ref="O57:O58" si="76">ROUND(E57*J57,2)</f>
        <v>0</v>
      </c>
      <c r="P57" s="229">
        <f t="shared" ref="P57:P58" si="77">O57+N57+M57</f>
        <v>0</v>
      </c>
      <c r="R57" s="113"/>
      <c r="S57" s="113"/>
      <c r="T57" s="113"/>
    </row>
    <row r="58" spans="1:20" s="105" customFormat="1">
      <c r="A58" s="46">
        <v>43</v>
      </c>
      <c r="B58" s="7" t="s">
        <v>132</v>
      </c>
      <c r="C58" s="126" t="s">
        <v>375</v>
      </c>
      <c r="D58" s="132" t="s">
        <v>37</v>
      </c>
      <c r="E58" s="127">
        <v>10</v>
      </c>
      <c r="F58" s="229"/>
      <c r="G58" s="229"/>
      <c r="H58" s="229">
        <f t="shared" si="71"/>
        <v>0</v>
      </c>
      <c r="I58" s="229"/>
      <c r="J58" s="229"/>
      <c r="K58" s="229">
        <f t="shared" si="72"/>
        <v>0</v>
      </c>
      <c r="L58" s="229">
        <f t="shared" si="73"/>
        <v>0</v>
      </c>
      <c r="M58" s="229">
        <f t="shared" si="74"/>
        <v>0</v>
      </c>
      <c r="N58" s="229">
        <f t="shared" si="75"/>
        <v>0</v>
      </c>
      <c r="O58" s="229">
        <f t="shared" si="76"/>
        <v>0</v>
      </c>
      <c r="P58" s="229">
        <f t="shared" si="77"/>
        <v>0</v>
      </c>
      <c r="R58" s="113"/>
      <c r="S58" s="113"/>
      <c r="T58" s="113"/>
    </row>
    <row r="59" spans="1:20" s="317" customFormat="1" ht="25.5">
      <c r="A59" s="46">
        <v>44</v>
      </c>
      <c r="B59" s="314" t="s">
        <v>132</v>
      </c>
      <c r="C59" s="126" t="s">
        <v>376</v>
      </c>
      <c r="D59" s="315" t="s">
        <v>37</v>
      </c>
      <c r="E59" s="316">
        <v>60</v>
      </c>
      <c r="F59" s="229"/>
      <c r="G59" s="229"/>
      <c r="H59" s="229">
        <f t="shared" si="57"/>
        <v>0</v>
      </c>
      <c r="I59" s="229"/>
      <c r="J59" s="229"/>
      <c r="K59" s="229">
        <f t="shared" si="58"/>
        <v>0</v>
      </c>
      <c r="L59" s="229">
        <f t="shared" si="59"/>
        <v>0</v>
      </c>
      <c r="M59" s="229">
        <f t="shared" si="60"/>
        <v>0</v>
      </c>
      <c r="N59" s="229">
        <f t="shared" si="61"/>
        <v>0</v>
      </c>
      <c r="O59" s="229">
        <f t="shared" si="62"/>
        <v>0</v>
      </c>
      <c r="P59" s="229">
        <f t="shared" si="63"/>
        <v>0</v>
      </c>
      <c r="R59" s="318"/>
      <c r="S59" s="318"/>
      <c r="T59" s="318"/>
    </row>
    <row r="60" spans="1:20" s="317" customFormat="1" ht="25.5">
      <c r="A60" s="46">
        <v>45</v>
      </c>
      <c r="B60" s="314" t="s">
        <v>132</v>
      </c>
      <c r="C60" s="126" t="s">
        <v>377</v>
      </c>
      <c r="D60" s="315" t="s">
        <v>37</v>
      </c>
      <c r="E60" s="316">
        <v>230</v>
      </c>
      <c r="F60" s="229"/>
      <c r="G60" s="229"/>
      <c r="H60" s="229">
        <f t="shared" si="57"/>
        <v>0</v>
      </c>
      <c r="I60" s="229"/>
      <c r="J60" s="229"/>
      <c r="K60" s="229">
        <f t="shared" si="58"/>
        <v>0</v>
      </c>
      <c r="L60" s="229">
        <f t="shared" si="59"/>
        <v>0</v>
      </c>
      <c r="M60" s="229">
        <f t="shared" si="60"/>
        <v>0</v>
      </c>
      <c r="N60" s="229">
        <f t="shared" si="61"/>
        <v>0</v>
      </c>
      <c r="O60" s="229">
        <f t="shared" si="62"/>
        <v>0</v>
      </c>
      <c r="P60" s="229">
        <f t="shared" si="63"/>
        <v>0</v>
      </c>
      <c r="R60" s="318"/>
      <c r="S60" s="318"/>
      <c r="T60" s="318"/>
    </row>
    <row r="61" spans="1:20" s="317" customFormat="1" ht="25.5">
      <c r="A61" s="46">
        <v>46</v>
      </c>
      <c r="B61" s="314" t="s">
        <v>132</v>
      </c>
      <c r="C61" s="126" t="s">
        <v>378</v>
      </c>
      <c r="D61" s="315" t="s">
        <v>37</v>
      </c>
      <c r="E61" s="316">
        <v>160</v>
      </c>
      <c r="F61" s="229"/>
      <c r="G61" s="229"/>
      <c r="H61" s="229">
        <f t="shared" si="57"/>
        <v>0</v>
      </c>
      <c r="I61" s="229"/>
      <c r="J61" s="229"/>
      <c r="K61" s="229">
        <f t="shared" si="58"/>
        <v>0</v>
      </c>
      <c r="L61" s="229">
        <f t="shared" si="59"/>
        <v>0</v>
      </c>
      <c r="M61" s="229">
        <f t="shared" si="60"/>
        <v>0</v>
      </c>
      <c r="N61" s="229">
        <f t="shared" si="61"/>
        <v>0</v>
      </c>
      <c r="O61" s="229">
        <f t="shared" si="62"/>
        <v>0</v>
      </c>
      <c r="P61" s="229">
        <f t="shared" si="63"/>
        <v>0</v>
      </c>
      <c r="R61" s="318"/>
      <c r="S61" s="318"/>
      <c r="T61" s="318"/>
    </row>
    <row r="62" spans="1:20" s="317" customFormat="1" ht="25.5">
      <c r="A62" s="46">
        <v>47</v>
      </c>
      <c r="B62" s="314" t="s">
        <v>132</v>
      </c>
      <c r="C62" s="126" t="s">
        <v>379</v>
      </c>
      <c r="D62" s="315" t="s">
        <v>37</v>
      </c>
      <c r="E62" s="316">
        <v>180</v>
      </c>
      <c r="F62" s="229"/>
      <c r="G62" s="229"/>
      <c r="H62" s="229">
        <f t="shared" ref="H62:H66" si="78">ROUND(G62*F62,2)</f>
        <v>0</v>
      </c>
      <c r="I62" s="319"/>
      <c r="J62" s="229"/>
      <c r="K62" s="229">
        <f t="shared" ref="K62:K66" si="79">H62+I62+J62</f>
        <v>0</v>
      </c>
      <c r="L62" s="229">
        <f t="shared" ref="L62:L66" si="80">ROUND(E62*F62,2)</f>
        <v>0</v>
      </c>
      <c r="M62" s="229">
        <f t="shared" ref="M62:M66" si="81">ROUND(E62*H62,2)</f>
        <v>0</v>
      </c>
      <c r="N62" s="229">
        <f t="shared" ref="N62:N66" si="82">ROUND(E62*I62,2)</f>
        <v>0</v>
      </c>
      <c r="O62" s="229">
        <f t="shared" ref="O62:O66" si="83">ROUND(E62*J62,2)</f>
        <v>0</v>
      </c>
      <c r="P62" s="229">
        <f t="shared" ref="P62:P66" si="84">O62+N62+M62</f>
        <v>0</v>
      </c>
      <c r="R62" s="318"/>
      <c r="S62" s="318"/>
      <c r="T62" s="318"/>
    </row>
    <row r="63" spans="1:20" s="317" customFormat="1" ht="25.5">
      <c r="A63" s="46">
        <v>48</v>
      </c>
      <c r="B63" s="314" t="s">
        <v>132</v>
      </c>
      <c r="C63" s="126" t="s">
        <v>380</v>
      </c>
      <c r="D63" s="315" t="s">
        <v>37</v>
      </c>
      <c r="E63" s="316">
        <v>140</v>
      </c>
      <c r="F63" s="229"/>
      <c r="G63" s="229"/>
      <c r="H63" s="229">
        <f t="shared" si="78"/>
        <v>0</v>
      </c>
      <c r="I63" s="319"/>
      <c r="J63" s="229"/>
      <c r="K63" s="229">
        <f t="shared" si="79"/>
        <v>0</v>
      </c>
      <c r="L63" s="229">
        <f t="shared" si="80"/>
        <v>0</v>
      </c>
      <c r="M63" s="229">
        <f t="shared" si="81"/>
        <v>0</v>
      </c>
      <c r="N63" s="229">
        <f t="shared" si="82"/>
        <v>0</v>
      </c>
      <c r="O63" s="229">
        <f t="shared" si="83"/>
        <v>0</v>
      </c>
      <c r="P63" s="229">
        <f t="shared" si="84"/>
        <v>0</v>
      </c>
      <c r="R63" s="318"/>
      <c r="S63" s="318"/>
      <c r="T63" s="318"/>
    </row>
    <row r="64" spans="1:20" s="317" customFormat="1" ht="25.5">
      <c r="A64" s="46">
        <v>49</v>
      </c>
      <c r="B64" s="314" t="s">
        <v>132</v>
      </c>
      <c r="C64" s="126" t="s">
        <v>381</v>
      </c>
      <c r="D64" s="315" t="s">
        <v>37</v>
      </c>
      <c r="E64" s="316">
        <v>90</v>
      </c>
      <c r="F64" s="229"/>
      <c r="G64" s="229"/>
      <c r="H64" s="229">
        <f t="shared" si="78"/>
        <v>0</v>
      </c>
      <c r="I64" s="229"/>
      <c r="J64" s="229"/>
      <c r="K64" s="229">
        <f t="shared" si="79"/>
        <v>0</v>
      </c>
      <c r="L64" s="229">
        <f t="shared" si="80"/>
        <v>0</v>
      </c>
      <c r="M64" s="229">
        <f t="shared" si="81"/>
        <v>0</v>
      </c>
      <c r="N64" s="229">
        <f t="shared" si="82"/>
        <v>0</v>
      </c>
      <c r="O64" s="229">
        <f t="shared" si="83"/>
        <v>0</v>
      </c>
      <c r="P64" s="229">
        <f t="shared" si="84"/>
        <v>0</v>
      </c>
      <c r="R64" s="318"/>
      <c r="S64" s="318"/>
      <c r="T64" s="318"/>
    </row>
    <row r="65" spans="1:20" s="317" customFormat="1" ht="25.5">
      <c r="A65" s="46">
        <v>50</v>
      </c>
      <c r="B65" s="314" t="s">
        <v>132</v>
      </c>
      <c r="C65" s="126" t="s">
        <v>382</v>
      </c>
      <c r="D65" s="315" t="s">
        <v>37</v>
      </c>
      <c r="E65" s="316">
        <v>50</v>
      </c>
      <c r="F65" s="229"/>
      <c r="G65" s="229"/>
      <c r="H65" s="229">
        <f t="shared" ref="H65" si="85">ROUND(G65*F65,2)</f>
        <v>0</v>
      </c>
      <c r="I65" s="229"/>
      <c r="J65" s="229"/>
      <c r="K65" s="229">
        <f t="shared" ref="K65" si="86">H65+I65+J65</f>
        <v>0</v>
      </c>
      <c r="L65" s="229">
        <f t="shared" ref="L65" si="87">ROUND(E65*F65,2)</f>
        <v>0</v>
      </c>
      <c r="M65" s="229">
        <f t="shared" ref="M65" si="88">ROUND(E65*H65,2)</f>
        <v>0</v>
      </c>
      <c r="N65" s="229">
        <f t="shared" ref="N65" si="89">ROUND(E65*I65,2)</f>
        <v>0</v>
      </c>
      <c r="O65" s="229">
        <f t="shared" ref="O65" si="90">ROUND(E65*J65,2)</f>
        <v>0</v>
      </c>
      <c r="P65" s="229">
        <f t="shared" ref="P65" si="91">O65+N65+M65</f>
        <v>0</v>
      </c>
      <c r="R65" s="318"/>
      <c r="S65" s="318"/>
      <c r="T65" s="318"/>
    </row>
    <row r="66" spans="1:20" s="317" customFormat="1" ht="25.5">
      <c r="A66" s="46">
        <v>51</v>
      </c>
      <c r="B66" s="314" t="s">
        <v>132</v>
      </c>
      <c r="C66" s="126" t="s">
        <v>383</v>
      </c>
      <c r="D66" s="315" t="s">
        <v>37</v>
      </c>
      <c r="E66" s="316">
        <v>10</v>
      </c>
      <c r="F66" s="229"/>
      <c r="G66" s="229"/>
      <c r="H66" s="229">
        <f t="shared" si="78"/>
        <v>0</v>
      </c>
      <c r="I66" s="229"/>
      <c r="J66" s="229"/>
      <c r="K66" s="229">
        <f t="shared" si="79"/>
        <v>0</v>
      </c>
      <c r="L66" s="229">
        <f t="shared" si="80"/>
        <v>0</v>
      </c>
      <c r="M66" s="229">
        <f t="shared" si="81"/>
        <v>0</v>
      </c>
      <c r="N66" s="229">
        <f t="shared" si="82"/>
        <v>0</v>
      </c>
      <c r="O66" s="229">
        <f t="shared" si="83"/>
        <v>0</v>
      </c>
      <c r="P66" s="229">
        <f t="shared" si="84"/>
        <v>0</v>
      </c>
      <c r="R66" s="318"/>
      <c r="S66" s="318"/>
      <c r="T66" s="318"/>
    </row>
    <row r="67" spans="1:20" s="105" customFormat="1">
      <c r="A67" s="46"/>
      <c r="B67" s="7"/>
      <c r="C67" s="130" t="s">
        <v>244</v>
      </c>
      <c r="D67" s="132" t="s">
        <v>129</v>
      </c>
      <c r="E67" s="128">
        <v>1</v>
      </c>
      <c r="F67" s="227"/>
      <c r="G67" s="228"/>
      <c r="H67" s="229"/>
      <c r="I67" s="229"/>
      <c r="J67" s="229"/>
      <c r="K67" s="229">
        <f>H67+I67+J67</f>
        <v>0</v>
      </c>
      <c r="L67" s="228"/>
      <c r="M67" s="229"/>
      <c r="N67" s="229">
        <f>ROUND(E67*I67,2)</f>
        <v>0</v>
      </c>
      <c r="O67" s="229"/>
      <c r="P67" s="229">
        <f>O67+N67+M67</f>
        <v>0</v>
      </c>
      <c r="R67" s="113"/>
      <c r="S67" s="113"/>
      <c r="T67" s="113"/>
    </row>
    <row r="68" spans="1:20" s="105" customFormat="1" ht="13.5" thickBot="1">
      <c r="A68" s="46"/>
      <c r="B68" s="7"/>
      <c r="C68" s="130" t="s">
        <v>130</v>
      </c>
      <c r="D68" s="132" t="s">
        <v>129</v>
      </c>
      <c r="E68" s="128">
        <v>1</v>
      </c>
      <c r="F68" s="227"/>
      <c r="G68" s="228"/>
      <c r="H68" s="229"/>
      <c r="I68" s="229"/>
      <c r="J68" s="229"/>
      <c r="K68" s="229">
        <f>H68+I68+J68</f>
        <v>0</v>
      </c>
      <c r="L68" s="228"/>
      <c r="M68" s="229"/>
      <c r="N68" s="229">
        <f>ROUND(E68*I68,2)</f>
        <v>0</v>
      </c>
      <c r="O68" s="229"/>
      <c r="P68" s="229">
        <f>O68+N68+M68</f>
        <v>0</v>
      </c>
      <c r="R68" s="113"/>
      <c r="S68" s="113"/>
      <c r="T68" s="113"/>
    </row>
    <row r="69" spans="1:20" s="66" customFormat="1" ht="13.5" thickBot="1">
      <c r="A69" s="61"/>
      <c r="B69" s="4"/>
      <c r="C69" s="62" t="s">
        <v>25</v>
      </c>
      <c r="D69" s="63"/>
      <c r="E69" s="64"/>
      <c r="F69" s="65"/>
      <c r="G69" s="65"/>
      <c r="H69" s="65"/>
      <c r="I69" s="65"/>
      <c r="J69" s="65"/>
      <c r="K69" s="65"/>
      <c r="L69" s="230">
        <f>SUM(L16:L68)</f>
        <v>0</v>
      </c>
      <c r="M69" s="230">
        <f>SUM(M16:M68)</f>
        <v>0</v>
      </c>
      <c r="N69" s="230">
        <f>SUM(N16:N68)</f>
        <v>0</v>
      </c>
      <c r="O69" s="230">
        <f>SUM(O16:O68)</f>
        <v>0</v>
      </c>
      <c r="P69" s="230">
        <f>SUM(P16:P68)</f>
        <v>0</v>
      </c>
      <c r="R69" s="114"/>
      <c r="S69" s="114"/>
      <c r="T69" s="114"/>
    </row>
    <row r="70" spans="1:20">
      <c r="H70" s="118"/>
      <c r="I70" s="118"/>
      <c r="J70" s="68"/>
      <c r="K70" s="68" t="s">
        <v>26</v>
      </c>
      <c r="L70" s="69" t="s">
        <v>385</v>
      </c>
      <c r="M70" s="203"/>
      <c r="N70" s="203" t="e">
        <f>ROUND(N69*L70,2)</f>
        <v>#VALUE!</v>
      </c>
      <c r="O70" s="203"/>
      <c r="P70" s="231" t="e">
        <f>N70</f>
        <v>#VALUE!</v>
      </c>
    </row>
    <row r="71" spans="1:20">
      <c r="A71" s="70"/>
      <c r="B71" s="70"/>
      <c r="C71" s="70"/>
      <c r="J71" s="71"/>
      <c r="K71" s="71"/>
      <c r="L71" s="71" t="s">
        <v>79</v>
      </c>
      <c r="M71" s="232">
        <f>M70+M69</f>
        <v>0</v>
      </c>
      <c r="N71" s="232" t="e">
        <f>N70+N69</f>
        <v>#VALUE!</v>
      </c>
      <c r="O71" s="232">
        <f>O70+O69</f>
        <v>0</v>
      </c>
      <c r="P71" s="233" t="e">
        <f>P70+P69</f>
        <v>#VALUE!</v>
      </c>
    </row>
    <row r="72" spans="1:20">
      <c r="N72" s="44"/>
      <c r="O72" s="44"/>
      <c r="P72" s="92"/>
    </row>
    <row r="73" spans="1:20" s="23" customFormat="1">
      <c r="A73" s="72"/>
      <c r="B73" s="73"/>
      <c r="C73" s="72"/>
      <c r="D73" s="72"/>
      <c r="E73" s="74"/>
      <c r="F73" s="75"/>
      <c r="G73" s="75"/>
      <c r="H73" s="75"/>
    </row>
    <row r="74" spans="1:20" s="23" customFormat="1">
      <c r="A74" s="76"/>
      <c r="B74" s="77"/>
      <c r="C74" s="78"/>
      <c r="P74" s="94"/>
    </row>
    <row r="75" spans="1:20" s="23" customFormat="1">
      <c r="B75" s="78" t="s">
        <v>27</v>
      </c>
      <c r="C75" s="79"/>
      <c r="D75" s="55">
        <f>Kopsavilkums!E34</f>
        <v>0</v>
      </c>
      <c r="E75" s="80"/>
      <c r="J75" s="23" t="s">
        <v>28</v>
      </c>
      <c r="K75" s="81"/>
      <c r="L75" s="81"/>
      <c r="M75" s="81"/>
      <c r="N75" s="55">
        <f>Kopsavilkums!E39</f>
        <v>0</v>
      </c>
    </row>
    <row r="76" spans="1:20" s="23" customFormat="1">
      <c r="C76" s="75" t="s">
        <v>29</v>
      </c>
      <c r="D76" s="82"/>
      <c r="L76" s="78" t="s">
        <v>29</v>
      </c>
      <c r="N76" s="55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51181102362204722" right="0.31496062992125984" top="0.55118110236220474" bottom="0.55118110236220474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6"/>
  <sheetViews>
    <sheetView workbookViewId="0">
      <selection activeCell="C26" sqref="C26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6.42578125" style="36" customWidth="1"/>
    <col min="5" max="5" width="6.85546875" style="37" customWidth="1"/>
    <col min="6" max="6" width="7" style="36" customWidth="1"/>
    <col min="7" max="8" width="8.14062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20">
      <c r="A1" s="481" t="s">
        <v>299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20">
      <c r="A2" s="482" t="s">
        <v>328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20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 s="27" customFormat="1">
      <c r="A4" s="27" t="str">
        <f>Kopsavilkums!A4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20" s="27" customFormat="1">
      <c r="A5" s="27" t="str">
        <f>Kopsavilkums!A5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20" s="27" customFormat="1">
      <c r="A6" s="27" t="str">
        <f>Kopsavilkums!A6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20" s="33" customFormat="1">
      <c r="H7" s="205"/>
      <c r="I7" s="205"/>
      <c r="J7" s="205"/>
      <c r="K7" s="205"/>
      <c r="L7" s="205"/>
      <c r="M7" s="205"/>
      <c r="N7" s="205"/>
      <c r="O7" s="205"/>
      <c r="P7" s="205"/>
    </row>
    <row r="8" spans="1:20">
      <c r="A8" s="34"/>
      <c r="B8" s="34"/>
      <c r="F8" s="38"/>
      <c r="K8" s="205"/>
      <c r="L8" s="207" t="s">
        <v>76</v>
      </c>
      <c r="M8" s="205"/>
      <c r="N8" s="483" t="e">
        <f>P40</f>
        <v>#VALUE!</v>
      </c>
      <c r="O8" s="483"/>
      <c r="P8" s="205"/>
    </row>
    <row r="9" spans="1:20">
      <c r="A9" s="34"/>
      <c r="B9" s="34"/>
      <c r="F9" s="38"/>
      <c r="L9" s="40" t="str">
        <f>Kopsavilkums!E10</f>
        <v>Tāme sastādīta: 2017. gada .........</v>
      </c>
      <c r="M9" s="41"/>
      <c r="N9" s="206"/>
      <c r="O9" s="41"/>
      <c r="P9" s="41"/>
    </row>
    <row r="10" spans="1:20">
      <c r="A10" s="42"/>
      <c r="B10" s="42"/>
      <c r="C10" s="43"/>
      <c r="L10" s="205"/>
      <c r="M10" s="205"/>
      <c r="N10" s="205"/>
      <c r="O10" s="205"/>
    </row>
    <row r="11" spans="1:20" s="33" customFormat="1" ht="13.5" thickBot="1">
      <c r="A11" s="488" t="s">
        <v>17</v>
      </c>
      <c r="B11" s="491" t="s">
        <v>11</v>
      </c>
      <c r="C11" s="470" t="s">
        <v>12</v>
      </c>
      <c r="D11" s="473" t="s">
        <v>18</v>
      </c>
      <c r="E11" s="476" t="s">
        <v>19</v>
      </c>
      <c r="F11" s="479" t="s">
        <v>13</v>
      </c>
      <c r="G11" s="479"/>
      <c r="H11" s="479"/>
      <c r="I11" s="479"/>
      <c r="J11" s="479"/>
      <c r="K11" s="479"/>
      <c r="L11" s="484" t="s">
        <v>14</v>
      </c>
      <c r="M11" s="484"/>
      <c r="N11" s="484"/>
      <c r="O11" s="484"/>
      <c r="P11" s="485"/>
    </row>
    <row r="12" spans="1:20" s="33" customFormat="1" ht="13.5" thickBot="1">
      <c r="A12" s="489"/>
      <c r="B12" s="492"/>
      <c r="C12" s="471"/>
      <c r="D12" s="474"/>
      <c r="E12" s="477"/>
      <c r="F12" s="480"/>
      <c r="G12" s="480"/>
      <c r="H12" s="480"/>
      <c r="I12" s="480"/>
      <c r="J12" s="480"/>
      <c r="K12" s="480"/>
      <c r="L12" s="486" t="s">
        <v>20</v>
      </c>
      <c r="M12" s="486"/>
      <c r="N12" s="486" t="s">
        <v>21</v>
      </c>
      <c r="O12" s="486"/>
      <c r="P12" s="487" t="s">
        <v>22</v>
      </c>
    </row>
    <row r="13" spans="1:20" s="33" customFormat="1" ht="45">
      <c r="A13" s="490"/>
      <c r="B13" s="493"/>
      <c r="C13" s="472"/>
      <c r="D13" s="475"/>
      <c r="E13" s="478"/>
      <c r="F13" s="97" t="s">
        <v>23</v>
      </c>
      <c r="G13" s="97" t="s">
        <v>70</v>
      </c>
      <c r="H13" s="97" t="s">
        <v>71</v>
      </c>
      <c r="I13" s="97" t="s">
        <v>72</v>
      </c>
      <c r="J13" s="98" t="s">
        <v>73</v>
      </c>
      <c r="K13" s="98" t="s">
        <v>74</v>
      </c>
      <c r="L13" s="99" t="s">
        <v>24</v>
      </c>
      <c r="M13" s="97" t="s">
        <v>71</v>
      </c>
      <c r="N13" s="97" t="s">
        <v>72</v>
      </c>
      <c r="O13" s="98" t="s">
        <v>73</v>
      </c>
      <c r="P13" s="100" t="s">
        <v>75</v>
      </c>
    </row>
    <row r="14" spans="1:20" s="33" customFormat="1">
      <c r="A14" s="96" t="s">
        <v>68</v>
      </c>
      <c r="B14" s="96" t="s">
        <v>69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20" s="133" customFormat="1">
      <c r="A15" s="46"/>
      <c r="B15" s="7"/>
      <c r="C15" s="216" t="s">
        <v>312</v>
      </c>
      <c r="D15" s="124"/>
      <c r="E15" s="127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R15" s="134"/>
      <c r="S15" s="134"/>
      <c r="T15" s="134"/>
    </row>
    <row r="16" spans="1:20" s="133" customFormat="1">
      <c r="A16" s="46">
        <v>1</v>
      </c>
      <c r="B16" s="7" t="s">
        <v>300</v>
      </c>
      <c r="C16" s="208" t="s">
        <v>301</v>
      </c>
      <c r="D16" s="209" t="s">
        <v>37</v>
      </c>
      <c r="E16" s="210">
        <v>96</v>
      </c>
      <c r="F16" s="229"/>
      <c r="G16" s="229"/>
      <c r="H16" s="229">
        <f t="shared" ref="H16:H18" si="1">ROUND(G16*F16,2)</f>
        <v>0</v>
      </c>
      <c r="I16" s="229"/>
      <c r="J16" s="229"/>
      <c r="K16" s="229">
        <f t="shared" ref="K16:K18" si="2">H16+I16+J16</f>
        <v>0</v>
      </c>
      <c r="L16" s="229">
        <f t="shared" ref="L16:L18" si="3">ROUND(E16*F16,2)</f>
        <v>0</v>
      </c>
      <c r="M16" s="229">
        <f t="shared" ref="M16:M18" si="4">ROUND(E16*H16,2)</f>
        <v>0</v>
      </c>
      <c r="N16" s="229">
        <f t="shared" ref="N16:N18" si="5">ROUND(E16*I16,2)</f>
        <v>0</v>
      </c>
      <c r="O16" s="229">
        <f t="shared" ref="O16:O18" si="6">ROUND(E16*J16,2)</f>
        <v>0</v>
      </c>
      <c r="P16" s="229">
        <f t="shared" ref="P16:P18" si="7">O16+N16+M16</f>
        <v>0</v>
      </c>
      <c r="R16" s="134"/>
      <c r="S16" s="134"/>
      <c r="T16" s="134"/>
    </row>
    <row r="17" spans="1:20" s="133" customFormat="1">
      <c r="A17" s="46">
        <v>2</v>
      </c>
      <c r="B17" s="7" t="s">
        <v>300</v>
      </c>
      <c r="C17" s="208" t="s">
        <v>317</v>
      </c>
      <c r="D17" s="209" t="s">
        <v>37</v>
      </c>
      <c r="E17" s="210">
        <v>36</v>
      </c>
      <c r="F17" s="229"/>
      <c r="G17" s="229"/>
      <c r="H17" s="229">
        <f t="shared" si="1"/>
        <v>0</v>
      </c>
      <c r="I17" s="229"/>
      <c r="J17" s="229"/>
      <c r="K17" s="229">
        <f t="shared" si="2"/>
        <v>0</v>
      </c>
      <c r="L17" s="229">
        <f t="shared" si="3"/>
        <v>0</v>
      </c>
      <c r="M17" s="229">
        <f t="shared" si="4"/>
        <v>0</v>
      </c>
      <c r="N17" s="229">
        <f t="shared" si="5"/>
        <v>0</v>
      </c>
      <c r="O17" s="229">
        <f t="shared" si="6"/>
        <v>0</v>
      </c>
      <c r="P17" s="229">
        <f t="shared" si="7"/>
        <v>0</v>
      </c>
      <c r="R17" s="134"/>
      <c r="S17" s="134"/>
      <c r="T17" s="134"/>
    </row>
    <row r="18" spans="1:20" s="133" customFormat="1">
      <c r="A18" s="46">
        <v>3</v>
      </c>
      <c r="B18" s="7" t="s">
        <v>300</v>
      </c>
      <c r="C18" s="208" t="s">
        <v>302</v>
      </c>
      <c r="D18" s="209" t="s">
        <v>37</v>
      </c>
      <c r="E18" s="210">
        <v>53</v>
      </c>
      <c r="F18" s="229"/>
      <c r="G18" s="229"/>
      <c r="H18" s="229">
        <f t="shared" si="1"/>
        <v>0</v>
      </c>
      <c r="I18" s="229"/>
      <c r="J18" s="229"/>
      <c r="K18" s="229">
        <f t="shared" si="2"/>
        <v>0</v>
      </c>
      <c r="L18" s="229">
        <f t="shared" si="3"/>
        <v>0</v>
      </c>
      <c r="M18" s="229">
        <f t="shared" si="4"/>
        <v>0</v>
      </c>
      <c r="N18" s="229">
        <f t="shared" si="5"/>
        <v>0</v>
      </c>
      <c r="O18" s="229">
        <f t="shared" si="6"/>
        <v>0</v>
      </c>
      <c r="P18" s="229">
        <f t="shared" si="7"/>
        <v>0</v>
      </c>
      <c r="R18" s="134"/>
      <c r="S18" s="134"/>
      <c r="T18" s="134"/>
    </row>
    <row r="19" spans="1:20" s="133" customFormat="1">
      <c r="A19" s="46">
        <v>4</v>
      </c>
      <c r="B19" s="7" t="s">
        <v>300</v>
      </c>
      <c r="C19" s="208" t="s">
        <v>318</v>
      </c>
      <c r="D19" s="209" t="s">
        <v>37</v>
      </c>
      <c r="E19" s="210">
        <v>7</v>
      </c>
      <c r="F19" s="229"/>
      <c r="G19" s="229"/>
      <c r="H19" s="229">
        <f t="shared" ref="H19" si="8">ROUND(G19*F19,2)</f>
        <v>0</v>
      </c>
      <c r="I19" s="229"/>
      <c r="J19" s="229"/>
      <c r="K19" s="229">
        <f t="shared" ref="K19" si="9">H19+I19+J19</f>
        <v>0</v>
      </c>
      <c r="L19" s="229">
        <f t="shared" ref="L19" si="10">ROUND(E19*F19,2)</f>
        <v>0</v>
      </c>
      <c r="M19" s="229">
        <f t="shared" ref="M19" si="11">ROUND(E19*H19,2)</f>
        <v>0</v>
      </c>
      <c r="N19" s="229">
        <f t="shared" ref="N19" si="12">ROUND(E19*I19,2)</f>
        <v>0</v>
      </c>
      <c r="O19" s="229">
        <f t="shared" ref="O19" si="13">ROUND(E19*J19,2)</f>
        <v>0</v>
      </c>
      <c r="P19" s="229">
        <f t="shared" ref="P19" si="14">O19+N19+M19</f>
        <v>0</v>
      </c>
      <c r="R19" s="134"/>
      <c r="S19" s="134"/>
      <c r="T19" s="134"/>
    </row>
    <row r="20" spans="1:20" s="133" customFormat="1">
      <c r="A20" s="46">
        <v>5</v>
      </c>
      <c r="B20" s="7"/>
      <c r="C20" s="217" t="s">
        <v>303</v>
      </c>
      <c r="D20" s="218" t="s">
        <v>304</v>
      </c>
      <c r="E20" s="211">
        <v>1</v>
      </c>
      <c r="F20" s="229"/>
      <c r="G20" s="229"/>
      <c r="H20" s="229"/>
      <c r="I20" s="229"/>
      <c r="J20" s="229"/>
      <c r="K20" s="229">
        <f t="shared" ref="K20:K34" si="15">H20+I20+J20</f>
        <v>0</v>
      </c>
      <c r="L20" s="229"/>
      <c r="M20" s="229"/>
      <c r="N20" s="229">
        <f t="shared" ref="N20:N34" si="16">ROUND(E20*I20,2)</f>
        <v>0</v>
      </c>
      <c r="O20" s="229"/>
      <c r="P20" s="229">
        <f t="shared" ref="P20:P34" si="17">O20+N20+M20</f>
        <v>0</v>
      </c>
      <c r="R20" s="134"/>
      <c r="S20" s="134"/>
      <c r="T20" s="134"/>
    </row>
    <row r="21" spans="1:20" s="133" customFormat="1">
      <c r="A21" s="46">
        <v>6</v>
      </c>
      <c r="B21" s="7" t="s">
        <v>300</v>
      </c>
      <c r="C21" s="219" t="s">
        <v>305</v>
      </c>
      <c r="D21" s="220" t="s">
        <v>37</v>
      </c>
      <c r="E21" s="210">
        <v>120</v>
      </c>
      <c r="F21" s="229"/>
      <c r="G21" s="229"/>
      <c r="H21" s="229">
        <f t="shared" ref="H21:H34" si="18">ROUND(G21*F21,2)</f>
        <v>0</v>
      </c>
      <c r="I21" s="229"/>
      <c r="J21" s="229"/>
      <c r="K21" s="229">
        <f t="shared" si="15"/>
        <v>0</v>
      </c>
      <c r="L21" s="229">
        <f t="shared" ref="L21:L34" si="19">ROUND(E21*F21,2)</f>
        <v>0</v>
      </c>
      <c r="M21" s="229">
        <f t="shared" ref="M21:M34" si="20">ROUND(E21*H21,2)</f>
        <v>0</v>
      </c>
      <c r="N21" s="229">
        <f t="shared" si="16"/>
        <v>0</v>
      </c>
      <c r="O21" s="229">
        <f t="shared" ref="O21:O34" si="21">ROUND(E21*J21,2)</f>
        <v>0</v>
      </c>
      <c r="P21" s="229">
        <f t="shared" si="17"/>
        <v>0</v>
      </c>
      <c r="R21" s="134"/>
      <c r="S21" s="134"/>
      <c r="T21" s="134"/>
    </row>
    <row r="22" spans="1:20" s="133" customFormat="1">
      <c r="A22" s="46">
        <v>7</v>
      </c>
      <c r="B22" s="7" t="s">
        <v>300</v>
      </c>
      <c r="C22" s="219" t="s">
        <v>313</v>
      </c>
      <c r="D22" s="220" t="s">
        <v>37</v>
      </c>
      <c r="E22" s="210">
        <v>100</v>
      </c>
      <c r="F22" s="229"/>
      <c r="G22" s="229"/>
      <c r="H22" s="229">
        <f t="shared" si="18"/>
        <v>0</v>
      </c>
      <c r="I22" s="229"/>
      <c r="J22" s="229"/>
      <c r="K22" s="229">
        <f t="shared" si="15"/>
        <v>0</v>
      </c>
      <c r="L22" s="229">
        <f t="shared" si="19"/>
        <v>0</v>
      </c>
      <c r="M22" s="229">
        <f t="shared" si="20"/>
        <v>0</v>
      </c>
      <c r="N22" s="229">
        <f t="shared" si="16"/>
        <v>0</v>
      </c>
      <c r="O22" s="229">
        <f t="shared" si="21"/>
        <v>0</v>
      </c>
      <c r="P22" s="229">
        <f t="shared" si="17"/>
        <v>0</v>
      </c>
      <c r="R22" s="134"/>
      <c r="S22" s="134"/>
      <c r="T22" s="134"/>
    </row>
    <row r="23" spans="1:20" s="133" customFormat="1">
      <c r="A23" s="46">
        <v>8</v>
      </c>
      <c r="B23" s="7" t="s">
        <v>300</v>
      </c>
      <c r="C23" s="221" t="s">
        <v>314</v>
      </c>
      <c r="D23" s="222" t="s">
        <v>37</v>
      </c>
      <c r="E23" s="214">
        <v>120</v>
      </c>
      <c r="F23" s="229"/>
      <c r="G23" s="229"/>
      <c r="H23" s="229">
        <f t="shared" si="18"/>
        <v>0</v>
      </c>
      <c r="I23" s="229"/>
      <c r="J23" s="229"/>
      <c r="K23" s="229">
        <f t="shared" si="15"/>
        <v>0</v>
      </c>
      <c r="L23" s="229">
        <f t="shared" si="19"/>
        <v>0</v>
      </c>
      <c r="M23" s="229">
        <f t="shared" si="20"/>
        <v>0</v>
      </c>
      <c r="N23" s="229">
        <f t="shared" si="16"/>
        <v>0</v>
      </c>
      <c r="O23" s="229">
        <f t="shared" si="21"/>
        <v>0</v>
      </c>
      <c r="P23" s="229">
        <f t="shared" si="17"/>
        <v>0</v>
      </c>
      <c r="R23" s="134"/>
      <c r="S23" s="134"/>
      <c r="T23" s="134"/>
    </row>
    <row r="24" spans="1:20" s="133" customFormat="1">
      <c r="A24" s="46">
        <v>9</v>
      </c>
      <c r="B24" s="7" t="s">
        <v>300</v>
      </c>
      <c r="C24" s="221" t="s">
        <v>323</v>
      </c>
      <c r="D24" s="222" t="s">
        <v>37</v>
      </c>
      <c r="E24" s="214">
        <v>100</v>
      </c>
      <c r="F24" s="229"/>
      <c r="G24" s="229"/>
      <c r="H24" s="229">
        <f t="shared" ref="H24" si="22">ROUND(G24*F24,2)</f>
        <v>0</v>
      </c>
      <c r="I24" s="229"/>
      <c r="J24" s="229"/>
      <c r="K24" s="229">
        <f t="shared" ref="K24" si="23">H24+I24+J24</f>
        <v>0</v>
      </c>
      <c r="L24" s="229">
        <f t="shared" ref="L24" si="24">ROUND(E24*F24,2)</f>
        <v>0</v>
      </c>
      <c r="M24" s="229">
        <f t="shared" ref="M24" si="25">ROUND(E24*H24,2)</f>
        <v>0</v>
      </c>
      <c r="N24" s="229">
        <f t="shared" ref="N24" si="26">ROUND(E24*I24,2)</f>
        <v>0</v>
      </c>
      <c r="O24" s="229">
        <f t="shared" ref="O24" si="27">ROUND(E24*J24,2)</f>
        <v>0</v>
      </c>
      <c r="P24" s="229">
        <f t="shared" ref="P24" si="28">O24+N24+M24</f>
        <v>0</v>
      </c>
      <c r="R24" s="134"/>
      <c r="S24" s="134"/>
      <c r="T24" s="134"/>
    </row>
    <row r="25" spans="1:20" s="133" customFormat="1">
      <c r="A25" s="46">
        <v>10</v>
      </c>
      <c r="B25" s="7" t="s">
        <v>300</v>
      </c>
      <c r="C25" s="221" t="s">
        <v>315</v>
      </c>
      <c r="D25" s="222" t="s">
        <v>37</v>
      </c>
      <c r="E25" s="214">
        <v>96</v>
      </c>
      <c r="F25" s="229"/>
      <c r="G25" s="229"/>
      <c r="H25" s="229">
        <f t="shared" si="18"/>
        <v>0</v>
      </c>
      <c r="I25" s="229"/>
      <c r="J25" s="229"/>
      <c r="K25" s="229">
        <f t="shared" si="15"/>
        <v>0</v>
      </c>
      <c r="L25" s="229">
        <f t="shared" si="19"/>
        <v>0</v>
      </c>
      <c r="M25" s="229">
        <f t="shared" si="20"/>
        <v>0</v>
      </c>
      <c r="N25" s="229">
        <f t="shared" si="16"/>
        <v>0</v>
      </c>
      <c r="O25" s="229">
        <f t="shared" si="21"/>
        <v>0</v>
      </c>
      <c r="P25" s="229">
        <f t="shared" si="17"/>
        <v>0</v>
      </c>
      <c r="R25" s="134"/>
      <c r="S25" s="134"/>
      <c r="T25" s="134"/>
    </row>
    <row r="26" spans="1:20" s="133" customFormat="1">
      <c r="A26" s="46">
        <v>11</v>
      </c>
      <c r="B26" s="7" t="s">
        <v>300</v>
      </c>
      <c r="C26" s="221" t="s">
        <v>324</v>
      </c>
      <c r="D26" s="222" t="s">
        <v>37</v>
      </c>
      <c r="E26" s="214">
        <v>36</v>
      </c>
      <c r="F26" s="229"/>
      <c r="G26" s="229"/>
      <c r="H26" s="229">
        <f t="shared" ref="H26" si="29">ROUND(G26*F26,2)</f>
        <v>0</v>
      </c>
      <c r="I26" s="229"/>
      <c r="J26" s="229"/>
      <c r="K26" s="229">
        <f t="shared" ref="K26" si="30">H26+I26+J26</f>
        <v>0</v>
      </c>
      <c r="L26" s="229">
        <f t="shared" ref="L26" si="31">ROUND(E26*F26,2)</f>
        <v>0</v>
      </c>
      <c r="M26" s="229">
        <f t="shared" ref="M26" si="32">ROUND(E26*H26,2)</f>
        <v>0</v>
      </c>
      <c r="N26" s="229">
        <f t="shared" ref="N26" si="33">ROUND(E26*I26,2)</f>
        <v>0</v>
      </c>
      <c r="O26" s="229">
        <f t="shared" ref="O26" si="34">ROUND(E26*J26,2)</f>
        <v>0</v>
      </c>
      <c r="P26" s="229">
        <f t="shared" ref="P26" si="35">O26+N26+M26</f>
        <v>0</v>
      </c>
      <c r="R26" s="134"/>
      <c r="S26" s="134"/>
      <c r="T26" s="134"/>
    </row>
    <row r="27" spans="1:20" s="133" customFormat="1">
      <c r="A27" s="46">
        <v>12</v>
      </c>
      <c r="B27" s="7" t="s">
        <v>300</v>
      </c>
      <c r="C27" s="213" t="s">
        <v>306</v>
      </c>
      <c r="D27" s="223" t="s">
        <v>37</v>
      </c>
      <c r="E27" s="212">
        <v>53</v>
      </c>
      <c r="F27" s="229"/>
      <c r="G27" s="229"/>
      <c r="H27" s="229">
        <f t="shared" si="18"/>
        <v>0</v>
      </c>
      <c r="I27" s="229"/>
      <c r="J27" s="229"/>
      <c r="K27" s="229">
        <f t="shared" si="15"/>
        <v>0</v>
      </c>
      <c r="L27" s="229">
        <f t="shared" si="19"/>
        <v>0</v>
      </c>
      <c r="M27" s="229">
        <f t="shared" si="20"/>
        <v>0</v>
      </c>
      <c r="N27" s="229">
        <f t="shared" si="16"/>
        <v>0</v>
      </c>
      <c r="O27" s="229">
        <f t="shared" si="21"/>
        <v>0</v>
      </c>
      <c r="P27" s="229">
        <f t="shared" si="17"/>
        <v>0</v>
      </c>
      <c r="R27" s="134"/>
      <c r="S27" s="134"/>
      <c r="T27" s="134"/>
    </row>
    <row r="28" spans="1:20" s="133" customFormat="1">
      <c r="A28" s="46">
        <v>13</v>
      </c>
      <c r="B28" s="7" t="s">
        <v>300</v>
      </c>
      <c r="C28" s="213" t="s">
        <v>319</v>
      </c>
      <c r="D28" s="223" t="s">
        <v>37</v>
      </c>
      <c r="E28" s="212">
        <v>7</v>
      </c>
      <c r="F28" s="229"/>
      <c r="G28" s="229"/>
      <c r="H28" s="229">
        <f t="shared" ref="H28" si="36">ROUND(G28*F28,2)</f>
        <v>0</v>
      </c>
      <c r="I28" s="229"/>
      <c r="J28" s="229"/>
      <c r="K28" s="229">
        <f t="shared" ref="K28" si="37">H28+I28+J28</f>
        <v>0</v>
      </c>
      <c r="L28" s="229">
        <f t="shared" ref="L28" si="38">ROUND(E28*F28,2)</f>
        <v>0</v>
      </c>
      <c r="M28" s="229">
        <f t="shared" ref="M28" si="39">ROUND(E28*H28,2)</f>
        <v>0</v>
      </c>
      <c r="N28" s="229">
        <f t="shared" ref="N28" si="40">ROUND(E28*I28,2)</f>
        <v>0</v>
      </c>
      <c r="O28" s="229">
        <f t="shared" ref="O28" si="41">ROUND(E28*J28,2)</f>
        <v>0</v>
      </c>
      <c r="P28" s="229">
        <f t="shared" ref="P28" si="42">O28+N28+M28</f>
        <v>0</v>
      </c>
      <c r="R28" s="134"/>
      <c r="S28" s="134"/>
      <c r="T28" s="134"/>
    </row>
    <row r="29" spans="1:20" s="133" customFormat="1">
      <c r="A29" s="46">
        <v>14</v>
      </c>
      <c r="B29" s="7" t="s">
        <v>300</v>
      </c>
      <c r="C29" s="224" t="s">
        <v>307</v>
      </c>
      <c r="D29" s="222" t="s">
        <v>127</v>
      </c>
      <c r="E29" s="214">
        <v>58</v>
      </c>
      <c r="F29" s="229"/>
      <c r="G29" s="229"/>
      <c r="H29" s="229">
        <f t="shared" si="18"/>
        <v>0</v>
      </c>
      <c r="I29" s="229"/>
      <c r="J29" s="229"/>
      <c r="K29" s="229">
        <f t="shared" si="15"/>
        <v>0</v>
      </c>
      <c r="L29" s="229">
        <f t="shared" si="19"/>
        <v>0</v>
      </c>
      <c r="M29" s="229">
        <f t="shared" si="20"/>
        <v>0</v>
      </c>
      <c r="N29" s="229">
        <f t="shared" si="16"/>
        <v>0</v>
      </c>
      <c r="O29" s="229">
        <f t="shared" si="21"/>
        <v>0</v>
      </c>
      <c r="P29" s="229">
        <f t="shared" si="17"/>
        <v>0</v>
      </c>
      <c r="R29" s="134"/>
      <c r="S29" s="134"/>
      <c r="T29" s="134"/>
    </row>
    <row r="30" spans="1:20" s="133" customFormat="1">
      <c r="A30" s="46">
        <v>15</v>
      </c>
      <c r="B30" s="7" t="s">
        <v>300</v>
      </c>
      <c r="C30" s="224" t="s">
        <v>316</v>
      </c>
      <c r="D30" s="222" t="s">
        <v>127</v>
      </c>
      <c r="E30" s="214">
        <v>18</v>
      </c>
      <c r="F30" s="229"/>
      <c r="G30" s="229"/>
      <c r="H30" s="229">
        <f t="shared" si="18"/>
        <v>0</v>
      </c>
      <c r="I30" s="229"/>
      <c r="J30" s="229"/>
      <c r="K30" s="229">
        <f t="shared" si="15"/>
        <v>0</v>
      </c>
      <c r="L30" s="229">
        <f t="shared" si="19"/>
        <v>0</v>
      </c>
      <c r="M30" s="229">
        <f t="shared" si="20"/>
        <v>0</v>
      </c>
      <c r="N30" s="229">
        <f t="shared" si="16"/>
        <v>0</v>
      </c>
      <c r="O30" s="229">
        <f t="shared" si="21"/>
        <v>0</v>
      </c>
      <c r="P30" s="229">
        <f t="shared" si="17"/>
        <v>0</v>
      </c>
      <c r="R30" s="134"/>
      <c r="S30" s="134"/>
      <c r="T30" s="134"/>
    </row>
    <row r="31" spans="1:20" s="133" customFormat="1">
      <c r="A31" s="46">
        <v>16</v>
      </c>
      <c r="B31" s="7" t="s">
        <v>300</v>
      </c>
      <c r="C31" s="224" t="s">
        <v>320</v>
      </c>
      <c r="D31" s="222" t="s">
        <v>127</v>
      </c>
      <c r="E31" s="214">
        <v>3</v>
      </c>
      <c r="F31" s="229"/>
      <c r="G31" s="229"/>
      <c r="H31" s="229">
        <f t="shared" si="18"/>
        <v>0</v>
      </c>
      <c r="I31" s="229"/>
      <c r="J31" s="229"/>
      <c r="K31" s="229">
        <f t="shared" si="15"/>
        <v>0</v>
      </c>
      <c r="L31" s="229">
        <f t="shared" si="19"/>
        <v>0</v>
      </c>
      <c r="M31" s="229">
        <f t="shared" si="20"/>
        <v>0</v>
      </c>
      <c r="N31" s="229">
        <f t="shared" si="16"/>
        <v>0</v>
      </c>
      <c r="O31" s="229">
        <f t="shared" si="21"/>
        <v>0</v>
      </c>
      <c r="P31" s="229">
        <f t="shared" si="17"/>
        <v>0</v>
      </c>
      <c r="R31" s="134"/>
      <c r="S31" s="134"/>
      <c r="T31" s="134"/>
    </row>
    <row r="32" spans="1:20" s="133" customFormat="1">
      <c r="A32" s="46">
        <v>17</v>
      </c>
      <c r="B32" s="7" t="s">
        <v>300</v>
      </c>
      <c r="C32" s="224" t="s">
        <v>308</v>
      </c>
      <c r="D32" s="222" t="s">
        <v>127</v>
      </c>
      <c r="E32" s="214">
        <v>2</v>
      </c>
      <c r="F32" s="229"/>
      <c r="G32" s="229"/>
      <c r="H32" s="229">
        <f t="shared" si="18"/>
        <v>0</v>
      </c>
      <c r="I32" s="229"/>
      <c r="J32" s="229"/>
      <c r="K32" s="229">
        <f t="shared" si="15"/>
        <v>0</v>
      </c>
      <c r="L32" s="229">
        <f t="shared" si="19"/>
        <v>0</v>
      </c>
      <c r="M32" s="229">
        <f t="shared" si="20"/>
        <v>0</v>
      </c>
      <c r="N32" s="229">
        <f t="shared" si="16"/>
        <v>0</v>
      </c>
      <c r="O32" s="229">
        <f t="shared" si="21"/>
        <v>0</v>
      </c>
      <c r="P32" s="229">
        <f t="shared" si="17"/>
        <v>0</v>
      </c>
      <c r="R32" s="134"/>
      <c r="S32" s="134"/>
      <c r="T32" s="134"/>
    </row>
    <row r="33" spans="1:20" s="133" customFormat="1">
      <c r="A33" s="46">
        <v>18</v>
      </c>
      <c r="B33" s="7" t="s">
        <v>300</v>
      </c>
      <c r="C33" s="224" t="s">
        <v>321</v>
      </c>
      <c r="D33" s="222" t="s">
        <v>127</v>
      </c>
      <c r="E33" s="214">
        <v>1</v>
      </c>
      <c r="F33" s="229"/>
      <c r="G33" s="229"/>
      <c r="H33" s="229">
        <f t="shared" ref="H33" si="43">ROUND(G33*F33,2)</f>
        <v>0</v>
      </c>
      <c r="I33" s="229"/>
      <c r="J33" s="229"/>
      <c r="K33" s="229">
        <f t="shared" ref="K33" si="44">H33+I33+J33</f>
        <v>0</v>
      </c>
      <c r="L33" s="229">
        <f t="shared" ref="L33" si="45">ROUND(E33*F33,2)</f>
        <v>0</v>
      </c>
      <c r="M33" s="229">
        <f t="shared" ref="M33" si="46">ROUND(E33*H33,2)</f>
        <v>0</v>
      </c>
      <c r="N33" s="229">
        <f t="shared" ref="N33" si="47">ROUND(E33*I33,2)</f>
        <v>0</v>
      </c>
      <c r="O33" s="229">
        <f t="shared" ref="O33" si="48">ROUND(E33*J33,2)</f>
        <v>0</v>
      </c>
      <c r="P33" s="229">
        <f t="shared" ref="P33" si="49">O33+N33+M33</f>
        <v>0</v>
      </c>
      <c r="R33" s="134"/>
      <c r="S33" s="134"/>
      <c r="T33" s="134"/>
    </row>
    <row r="34" spans="1:20" s="133" customFormat="1">
      <c r="A34" s="46">
        <v>19</v>
      </c>
      <c r="B34" s="7" t="s">
        <v>300</v>
      </c>
      <c r="C34" s="224" t="s">
        <v>322</v>
      </c>
      <c r="D34" s="222" t="s">
        <v>127</v>
      </c>
      <c r="E34" s="214">
        <v>18</v>
      </c>
      <c r="F34" s="229"/>
      <c r="G34" s="229"/>
      <c r="H34" s="229">
        <f t="shared" si="18"/>
        <v>0</v>
      </c>
      <c r="I34" s="229"/>
      <c r="J34" s="229"/>
      <c r="K34" s="229">
        <f t="shared" si="15"/>
        <v>0</v>
      </c>
      <c r="L34" s="229">
        <f t="shared" si="19"/>
        <v>0</v>
      </c>
      <c r="M34" s="229">
        <f t="shared" si="20"/>
        <v>0</v>
      </c>
      <c r="N34" s="229">
        <f t="shared" si="16"/>
        <v>0</v>
      </c>
      <c r="O34" s="229">
        <f t="shared" si="21"/>
        <v>0</v>
      </c>
      <c r="P34" s="229">
        <f t="shared" si="17"/>
        <v>0</v>
      </c>
      <c r="R34" s="134"/>
      <c r="S34" s="134"/>
      <c r="T34" s="134"/>
    </row>
    <row r="35" spans="1:20" s="133" customFormat="1">
      <c r="A35" s="46">
        <v>20</v>
      </c>
      <c r="B35" s="7"/>
      <c r="C35" s="224" t="s">
        <v>309</v>
      </c>
      <c r="D35" s="222" t="s">
        <v>304</v>
      </c>
      <c r="E35" s="214">
        <v>1</v>
      </c>
      <c r="F35" s="229"/>
      <c r="G35" s="229"/>
      <c r="H35" s="229"/>
      <c r="I35" s="229"/>
      <c r="J35" s="229"/>
      <c r="K35" s="229">
        <f>H35+I35+J35</f>
        <v>0</v>
      </c>
      <c r="L35" s="229"/>
      <c r="M35" s="229"/>
      <c r="N35" s="229">
        <f>ROUND(E35*I35,2)</f>
        <v>0</v>
      </c>
      <c r="O35" s="229"/>
      <c r="P35" s="229">
        <f>O35+N35+M35</f>
        <v>0</v>
      </c>
      <c r="R35" s="134"/>
      <c r="S35" s="134"/>
      <c r="T35" s="134"/>
    </row>
    <row r="36" spans="1:20" s="133" customFormat="1">
      <c r="A36" s="46">
        <v>21</v>
      </c>
      <c r="B36" s="7"/>
      <c r="C36" s="215" t="s">
        <v>310</v>
      </c>
      <c r="D36" s="225" t="s">
        <v>131</v>
      </c>
      <c r="E36" s="214">
        <v>1</v>
      </c>
      <c r="F36" s="229"/>
      <c r="G36" s="229"/>
      <c r="H36" s="229"/>
      <c r="I36" s="229"/>
      <c r="J36" s="229"/>
      <c r="K36" s="229">
        <f>H36+I36+J36</f>
        <v>0</v>
      </c>
      <c r="L36" s="229"/>
      <c r="M36" s="229"/>
      <c r="N36" s="229">
        <f>ROUND(E36*I36,2)</f>
        <v>0</v>
      </c>
      <c r="O36" s="229"/>
      <c r="P36" s="229">
        <f>O36+N36+M36</f>
        <v>0</v>
      </c>
      <c r="R36" s="134"/>
      <c r="S36" s="134"/>
      <c r="T36" s="134"/>
    </row>
    <row r="37" spans="1:20" s="33" customFormat="1" ht="13.5" thickBot="1">
      <c r="A37" s="46">
        <v>22</v>
      </c>
      <c r="B37" s="7" t="s">
        <v>54</v>
      </c>
      <c r="C37" s="224" t="s">
        <v>311</v>
      </c>
      <c r="D37" s="222" t="s">
        <v>37</v>
      </c>
      <c r="E37" s="214">
        <v>412</v>
      </c>
      <c r="F37" s="234"/>
      <c r="G37" s="229"/>
      <c r="H37" s="229">
        <f>ROUND(G37*F37,2)</f>
        <v>0</v>
      </c>
      <c r="I37" s="229"/>
      <c r="J37" s="229"/>
      <c r="K37" s="229">
        <f>H37+I37+J37</f>
        <v>0</v>
      </c>
      <c r="L37" s="229">
        <f>ROUND(E37*F37,2)</f>
        <v>0</v>
      </c>
      <c r="M37" s="229">
        <f>ROUND(E37*H37,2)</f>
        <v>0</v>
      </c>
      <c r="N37" s="229"/>
      <c r="O37" s="229">
        <f>ROUND(E37*J37,2)</f>
        <v>0</v>
      </c>
      <c r="P37" s="229">
        <f>O37+N37+M37</f>
        <v>0</v>
      </c>
    </row>
    <row r="38" spans="1:20" s="66" customFormat="1" ht="13.5" thickBot="1">
      <c r="A38" s="61"/>
      <c r="B38" s="4"/>
      <c r="C38" s="62" t="s">
        <v>25</v>
      </c>
      <c r="D38" s="63"/>
      <c r="E38" s="64"/>
      <c r="F38" s="65"/>
      <c r="G38" s="65"/>
      <c r="H38" s="65"/>
      <c r="I38" s="65"/>
      <c r="J38" s="65"/>
      <c r="K38" s="65"/>
      <c r="L38" s="230">
        <f>SUM(L15:L37)</f>
        <v>0</v>
      </c>
      <c r="M38" s="230">
        <f>SUM(M15:M37)</f>
        <v>0</v>
      </c>
      <c r="N38" s="230">
        <f>SUM(N15:N37)</f>
        <v>0</v>
      </c>
      <c r="O38" s="230">
        <f>SUM(O15:O37)</f>
        <v>0</v>
      </c>
      <c r="P38" s="230">
        <f>SUM(P15:P37)</f>
        <v>0</v>
      </c>
      <c r="R38" s="114"/>
      <c r="S38" s="114"/>
      <c r="T38" s="114"/>
    </row>
    <row r="39" spans="1:20">
      <c r="H39" s="205"/>
      <c r="I39" s="205"/>
      <c r="J39" s="68"/>
      <c r="K39" s="68" t="s">
        <v>26</v>
      </c>
      <c r="L39" s="69" t="s">
        <v>385</v>
      </c>
      <c r="M39" s="203"/>
      <c r="N39" s="203" t="e">
        <f>ROUND(N38*L39,2)</f>
        <v>#VALUE!</v>
      </c>
      <c r="O39" s="203"/>
      <c r="P39" s="231" t="e">
        <f>N39</f>
        <v>#VALUE!</v>
      </c>
    </row>
    <row r="40" spans="1:20">
      <c r="A40" s="70"/>
      <c r="B40" s="70"/>
      <c r="C40" s="70"/>
      <c r="J40" s="71"/>
      <c r="K40" s="71"/>
      <c r="L40" s="71" t="s">
        <v>79</v>
      </c>
      <c r="M40" s="232">
        <f>M39+M38</f>
        <v>0</v>
      </c>
      <c r="N40" s="232" t="e">
        <f>N39+N38</f>
        <v>#VALUE!</v>
      </c>
      <c r="O40" s="232">
        <f>O39+O38</f>
        <v>0</v>
      </c>
      <c r="P40" s="233" t="e">
        <f>P39+P38</f>
        <v>#VALUE!</v>
      </c>
    </row>
    <row r="41" spans="1:20">
      <c r="A41" s="70"/>
      <c r="B41" s="70"/>
      <c r="C41" s="70"/>
      <c r="J41" s="71"/>
      <c r="K41" s="71"/>
      <c r="L41" s="71"/>
      <c r="M41" s="37"/>
      <c r="N41" s="37"/>
      <c r="O41" s="37"/>
      <c r="P41" s="391"/>
    </row>
    <row r="42" spans="1:20">
      <c r="N42" s="44"/>
      <c r="O42" s="44"/>
      <c r="P42" s="92"/>
    </row>
    <row r="43" spans="1:20" s="23" customFormat="1">
      <c r="A43" s="72"/>
      <c r="B43" s="73"/>
      <c r="C43" s="72"/>
      <c r="D43" s="72"/>
      <c r="E43" s="74"/>
      <c r="F43" s="75"/>
      <c r="G43" s="75"/>
      <c r="H43" s="75"/>
    </row>
    <row r="44" spans="1:20" s="23" customFormat="1">
      <c r="A44" s="76"/>
      <c r="B44" s="77"/>
      <c r="C44" s="78"/>
      <c r="P44" s="94"/>
    </row>
    <row r="45" spans="1:20" s="23" customFormat="1">
      <c r="B45" s="78" t="s">
        <v>27</v>
      </c>
      <c r="C45" s="79"/>
      <c r="D45" s="55">
        <f>('pagraba griesti 1-7'!D33)</f>
        <v>0</v>
      </c>
      <c r="E45" s="80"/>
      <c r="J45" s="23" t="s">
        <v>28</v>
      </c>
      <c r="K45" s="81"/>
      <c r="L45" s="81"/>
      <c r="M45" s="81"/>
      <c r="N45" s="55">
        <f>('Apkure 2-1'!N75)</f>
        <v>0</v>
      </c>
    </row>
    <row r="46" spans="1:20" s="23" customFormat="1">
      <c r="C46" s="75" t="s">
        <v>29</v>
      </c>
      <c r="D46" s="82"/>
      <c r="L46" s="78" t="s">
        <v>29</v>
      </c>
      <c r="N46" s="55"/>
    </row>
  </sheetData>
  <sortState ref="A41:IV41">
    <sortCondition ref="A41"/>
  </sortState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11811023622047245" right="0.11811023622047245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tabSelected="1" zoomScale="110" workbookViewId="0">
      <selection activeCell="E6" sqref="E6"/>
    </sheetView>
  </sheetViews>
  <sheetFormatPr defaultRowHeight="11.25"/>
  <cols>
    <col min="1" max="1" width="4" style="3" customWidth="1"/>
    <col min="2" max="2" width="8.140625" style="3" customWidth="1"/>
    <col min="3" max="3" width="35.140625" style="3" customWidth="1"/>
    <col min="4" max="4" width="12.42578125" style="3" customWidth="1"/>
    <col min="5" max="5" width="10.28515625" style="3" customWidth="1"/>
    <col min="6" max="6" width="11.140625" style="3" customWidth="1"/>
    <col min="7" max="7" width="10.85546875" style="3" customWidth="1"/>
    <col min="8" max="256" width="11.42578125" style="3" customWidth="1"/>
    <col min="257" max="16384" width="9.140625" style="3"/>
  </cols>
  <sheetData>
    <row r="1" spans="1:8">
      <c r="A1" s="464" t="s">
        <v>425</v>
      </c>
      <c r="B1" s="464"/>
      <c r="C1" s="464"/>
      <c r="D1" s="464"/>
      <c r="E1" s="464"/>
      <c r="F1" s="464"/>
      <c r="G1" s="464"/>
      <c r="H1" s="464"/>
    </row>
    <row r="2" spans="1:8">
      <c r="A2" s="465" t="s">
        <v>0</v>
      </c>
      <c r="B2" s="465"/>
      <c r="C2" s="465"/>
      <c r="D2" s="465"/>
      <c r="E2" s="465"/>
      <c r="F2" s="465"/>
      <c r="G2" s="465"/>
      <c r="H2" s="465"/>
    </row>
    <row r="3" spans="1:8">
      <c r="A3" s="466"/>
      <c r="B3" s="466"/>
      <c r="C3" s="466"/>
      <c r="D3" s="466"/>
      <c r="E3" s="466"/>
      <c r="F3" s="466"/>
    </row>
    <row r="4" spans="1:8" ht="11.25" customHeight="1">
      <c r="A4" s="1" t="s">
        <v>326</v>
      </c>
      <c r="B4" s="2"/>
      <c r="C4" s="2"/>
      <c r="D4" s="2"/>
      <c r="E4" s="2"/>
      <c r="F4" s="2"/>
      <c r="G4" s="2"/>
      <c r="H4" s="2"/>
    </row>
    <row r="5" spans="1:8" ht="11.25" customHeight="1">
      <c r="A5" s="1" t="s">
        <v>199</v>
      </c>
      <c r="B5" s="2"/>
      <c r="C5" s="2"/>
      <c r="D5" s="2"/>
      <c r="E5" s="2"/>
      <c r="F5" s="2"/>
      <c r="G5" s="2"/>
      <c r="H5" s="2"/>
    </row>
    <row r="6" spans="1:8">
      <c r="A6" s="3" t="s">
        <v>227</v>
      </c>
    </row>
    <row r="8" spans="1:8">
      <c r="C8" s="8"/>
      <c r="E8" s="9" t="s">
        <v>3</v>
      </c>
      <c r="F8" s="10" t="e">
        <f>D30</f>
        <v>#VALUE!</v>
      </c>
    </row>
    <row r="9" spans="1:8">
      <c r="B9" s="5"/>
      <c r="C9" s="11"/>
      <c r="E9" s="6" t="s">
        <v>34</v>
      </c>
      <c r="F9" s="10">
        <f>H25</f>
        <v>0</v>
      </c>
    </row>
    <row r="10" spans="1:8">
      <c r="E10" s="22" t="s">
        <v>384</v>
      </c>
    </row>
    <row r="11" spans="1:8" ht="12" thickBot="1">
      <c r="A11" s="3" t="s">
        <v>2</v>
      </c>
    </row>
    <row r="12" spans="1:8">
      <c r="A12" s="467" t="s">
        <v>4</v>
      </c>
      <c r="B12" s="461" t="s">
        <v>5</v>
      </c>
      <c r="C12" s="461" t="s">
        <v>6</v>
      </c>
      <c r="D12" s="461" t="s">
        <v>108</v>
      </c>
      <c r="E12" s="461" t="s">
        <v>7</v>
      </c>
      <c r="F12" s="461"/>
      <c r="G12" s="461"/>
      <c r="H12" s="462" t="s">
        <v>8</v>
      </c>
    </row>
    <row r="13" spans="1:8" ht="22.5">
      <c r="A13" s="468"/>
      <c r="B13" s="469"/>
      <c r="C13" s="469"/>
      <c r="D13" s="469"/>
      <c r="E13" s="179" t="s">
        <v>109</v>
      </c>
      <c r="F13" s="179" t="s">
        <v>110</v>
      </c>
      <c r="G13" s="179" t="s">
        <v>111</v>
      </c>
      <c r="H13" s="463"/>
    </row>
    <row r="14" spans="1:8">
      <c r="A14" s="163"/>
      <c r="B14" s="12"/>
      <c r="C14" s="112" t="s">
        <v>112</v>
      </c>
      <c r="D14" s="17"/>
      <c r="E14" s="17"/>
      <c r="F14" s="17"/>
      <c r="G14" s="17"/>
      <c r="H14" s="164"/>
    </row>
    <row r="15" spans="1:8">
      <c r="A15" s="171">
        <v>1</v>
      </c>
      <c r="B15" s="13" t="s">
        <v>16</v>
      </c>
      <c r="C15" s="14" t="s">
        <v>94</v>
      </c>
      <c r="D15" s="15">
        <f>'Būvlaukums 1-1'!P32</f>
        <v>0</v>
      </c>
      <c r="E15" s="235">
        <f>'Būvlaukums 1-1'!M32</f>
        <v>0</v>
      </c>
      <c r="F15" s="235">
        <f>'Būvlaukums 1-1'!N32</f>
        <v>0</v>
      </c>
      <c r="G15" s="235">
        <f>'Būvlaukums 1-1'!O32</f>
        <v>0</v>
      </c>
      <c r="H15" s="236">
        <f>'Būvlaukums 1-1'!L30</f>
        <v>0</v>
      </c>
    </row>
    <row r="16" spans="1:8">
      <c r="A16" s="172">
        <v>2</v>
      </c>
      <c r="B16" s="13" t="s">
        <v>102</v>
      </c>
      <c r="C16" s="109" t="s">
        <v>333</v>
      </c>
      <c r="D16" s="110" t="e">
        <f>SUM('Jumts 1-2'!P71)</f>
        <v>#VALUE!</v>
      </c>
      <c r="E16" s="237">
        <f>SUM('Jumts 1-2'!M71)</f>
        <v>0</v>
      </c>
      <c r="F16" s="237" t="e">
        <f>SUM('Jumts 1-2'!N71)</f>
        <v>#VALUE!</v>
      </c>
      <c r="G16" s="237">
        <f>SUM('Jumts 1-2'!O71)</f>
        <v>0</v>
      </c>
      <c r="H16" s="238">
        <f>SUM('Jumts 1-2'!L69)</f>
        <v>0</v>
      </c>
    </row>
    <row r="17" spans="1:8">
      <c r="A17" s="172">
        <v>3</v>
      </c>
      <c r="B17" s="13" t="s">
        <v>103</v>
      </c>
      <c r="C17" s="109" t="s">
        <v>107</v>
      </c>
      <c r="D17" s="110" t="e">
        <f>SUM('Fasāde 1-3'!P93)</f>
        <v>#VALUE!</v>
      </c>
      <c r="E17" s="237">
        <f>SUM('Fasāde 1-3'!M93)</f>
        <v>0</v>
      </c>
      <c r="F17" s="237" t="e">
        <f>SUM('Fasāde 1-3'!N93)</f>
        <v>#VALUE!</v>
      </c>
      <c r="G17" s="237">
        <f>SUM('Fasāde 1-3'!O93)</f>
        <v>0</v>
      </c>
      <c r="H17" s="238">
        <f>SUM('Fasāde 1-3'!L91)</f>
        <v>0</v>
      </c>
    </row>
    <row r="18" spans="1:8">
      <c r="A18" s="172">
        <f t="shared" ref="A18:A19" si="0">A17+1</f>
        <v>4</v>
      </c>
      <c r="B18" s="13" t="s">
        <v>104</v>
      </c>
      <c r="C18" s="109" t="s">
        <v>84</v>
      </c>
      <c r="D18" s="110" t="e">
        <f>'Cokols 1-4'!P50</f>
        <v>#VALUE!</v>
      </c>
      <c r="E18" s="237">
        <f>'Cokols 1-4'!M50</f>
        <v>0</v>
      </c>
      <c r="F18" s="237" t="e">
        <f>'Cokols 1-4'!N50</f>
        <v>#VALUE!</v>
      </c>
      <c r="G18" s="237">
        <f>'Cokols 1-4'!O50</f>
        <v>0</v>
      </c>
      <c r="H18" s="238">
        <f>'Cokols 1-4'!L48</f>
        <v>0</v>
      </c>
    </row>
    <row r="19" spans="1:8">
      <c r="A19" s="172">
        <f t="shared" si="0"/>
        <v>5</v>
      </c>
      <c r="B19" s="13" t="s">
        <v>105</v>
      </c>
      <c r="C19" s="109" t="s">
        <v>120</v>
      </c>
      <c r="D19" s="110" t="e">
        <f>'Durvis, logi 1-5'!P41</f>
        <v>#VALUE!</v>
      </c>
      <c r="E19" s="237">
        <f>'Durvis, logi 1-5'!M41</f>
        <v>0</v>
      </c>
      <c r="F19" s="237" t="e">
        <f>'Durvis, logi 1-5'!N41</f>
        <v>#VALUE!</v>
      </c>
      <c r="G19" s="237">
        <f>'Durvis, logi 1-5'!O41</f>
        <v>0</v>
      </c>
      <c r="H19" s="238">
        <f>'Durvis, logi 1-5'!L39</f>
        <v>0</v>
      </c>
    </row>
    <row r="20" spans="1:8">
      <c r="A20" s="172">
        <v>6</v>
      </c>
      <c r="B20" s="111" t="s">
        <v>159</v>
      </c>
      <c r="C20" s="109" t="s">
        <v>147</v>
      </c>
      <c r="D20" s="110" t="e">
        <f>SUM('Iekšējā apdare 1-6'!P33)</f>
        <v>#VALUE!</v>
      </c>
      <c r="E20" s="237">
        <f>SUM('Iekšējā apdare 1-6'!M31)</f>
        <v>0</v>
      </c>
      <c r="F20" s="237" t="e">
        <f>SUM('Iekšējā apdare 1-6'!N33)</f>
        <v>#VALUE!</v>
      </c>
      <c r="G20" s="237">
        <f>SUM('Iekšējā apdare 1-6'!O31)</f>
        <v>0</v>
      </c>
      <c r="H20" s="238">
        <f>SUM('Iekšējā apdare 1-6'!L31)</f>
        <v>0</v>
      </c>
    </row>
    <row r="21" spans="1:8">
      <c r="A21" s="172"/>
      <c r="B21" s="111"/>
      <c r="C21" s="109" t="s">
        <v>325</v>
      </c>
      <c r="D21" s="110" t="e">
        <f>SUM('pagraba griesti 1-7'!P29)</f>
        <v>#VALUE!</v>
      </c>
      <c r="E21" s="237">
        <f>SUM('pagraba griesti 1-7'!M29)</f>
        <v>0</v>
      </c>
      <c r="F21" s="237" t="e">
        <f>SUM('pagraba griesti 1-7'!N29)</f>
        <v>#VALUE!</v>
      </c>
      <c r="G21" s="237">
        <f>SUM('pagraba griesti 1-7'!O29)</f>
        <v>0</v>
      </c>
      <c r="H21" s="238">
        <f>SUM('pagraba griesti 1-7'!L27)</f>
        <v>0</v>
      </c>
    </row>
    <row r="22" spans="1:8">
      <c r="A22" s="172"/>
      <c r="B22" s="111"/>
      <c r="C22" s="158" t="s">
        <v>113</v>
      </c>
      <c r="D22" s="110"/>
      <c r="E22" s="237"/>
      <c r="F22" s="237"/>
      <c r="G22" s="237"/>
      <c r="H22" s="238"/>
    </row>
    <row r="23" spans="1:8">
      <c r="A23" s="186">
        <v>7</v>
      </c>
      <c r="B23" s="183" t="s">
        <v>115</v>
      </c>
      <c r="C23" s="184" t="s">
        <v>197</v>
      </c>
      <c r="D23" s="185" t="e">
        <f>SUM('Apkure 2-1'!P71)</f>
        <v>#VALUE!</v>
      </c>
      <c r="E23" s="239">
        <f>SUM('Apkure 2-1'!M71)</f>
        <v>0</v>
      </c>
      <c r="F23" s="239" t="e">
        <f>SUM('Apkure 2-1'!N71)</f>
        <v>#VALUE!</v>
      </c>
      <c r="G23" s="239">
        <f>SUM('Apkure 2-1'!O71)</f>
        <v>0</v>
      </c>
      <c r="H23" s="240">
        <f>SUM('Apkure 2-1'!L69)</f>
        <v>0</v>
      </c>
    </row>
    <row r="24" spans="1:8" ht="12" thickBot="1">
      <c r="A24" s="180">
        <v>8</v>
      </c>
      <c r="B24" s="181" t="s">
        <v>198</v>
      </c>
      <c r="C24" s="184" t="s">
        <v>327</v>
      </c>
      <c r="D24" s="182" t="e">
        <f>SUM('2-2'!P40)</f>
        <v>#VALUE!</v>
      </c>
      <c r="E24" s="241">
        <f>SUM('2-2'!M40)</f>
        <v>0</v>
      </c>
      <c r="F24" s="241" t="e">
        <f>SUM('2-2'!N40)</f>
        <v>#VALUE!</v>
      </c>
      <c r="G24" s="241">
        <f>SUM('2-2'!O40)</f>
        <v>0</v>
      </c>
      <c r="H24" s="242">
        <f>SUM('2-2'!L38)</f>
        <v>0</v>
      </c>
    </row>
    <row r="25" spans="1:8">
      <c r="A25" s="159"/>
      <c r="B25" s="160"/>
      <c r="C25" s="161" t="s">
        <v>9</v>
      </c>
      <c r="D25" s="162" t="e">
        <f>SUM(D15:D24)</f>
        <v>#VALUE!</v>
      </c>
      <c r="E25" s="243">
        <f>SUM(E15:E24)</f>
        <v>0</v>
      </c>
      <c r="F25" s="243" t="e">
        <f>SUM(F15:F24)</f>
        <v>#VALUE!</v>
      </c>
      <c r="G25" s="243">
        <f>SUM(G15:G24)</f>
        <v>0</v>
      </c>
      <c r="H25" s="244">
        <f>SUM(H15:H24)</f>
        <v>0</v>
      </c>
    </row>
    <row r="26" spans="1:8">
      <c r="A26" s="163"/>
      <c r="B26" s="12"/>
      <c r="C26" s="16" t="s">
        <v>415</v>
      </c>
      <c r="D26" s="15"/>
      <c r="E26" s="17"/>
      <c r="F26" s="17"/>
      <c r="G26" s="17"/>
      <c r="H26" s="164"/>
    </row>
    <row r="27" spans="1:8">
      <c r="A27" s="163"/>
      <c r="B27" s="12"/>
      <c r="C27" s="16" t="s">
        <v>10</v>
      </c>
      <c r="D27" s="15"/>
      <c r="E27" s="17"/>
      <c r="F27" s="17"/>
      <c r="G27" s="17"/>
      <c r="H27" s="164"/>
    </row>
    <row r="28" spans="1:8">
      <c r="A28" s="163"/>
      <c r="B28" s="12"/>
      <c r="C28" s="16" t="s">
        <v>416</v>
      </c>
      <c r="D28" s="15"/>
      <c r="E28" s="17"/>
      <c r="F28" s="17"/>
      <c r="G28" s="17"/>
      <c r="H28" s="164"/>
    </row>
    <row r="29" spans="1:8" ht="12" thickBot="1">
      <c r="A29" s="165"/>
      <c r="B29" s="166"/>
      <c r="C29" s="167" t="s">
        <v>417</v>
      </c>
      <c r="D29" s="168"/>
      <c r="E29" s="169"/>
      <c r="F29" s="169"/>
      <c r="G29" s="169"/>
      <c r="H29" s="170"/>
    </row>
    <row r="30" spans="1:8" ht="12" thickBot="1">
      <c r="A30" s="173"/>
      <c r="B30" s="174"/>
      <c r="C30" s="175" t="s">
        <v>53</v>
      </c>
      <c r="D30" s="176" t="e">
        <f>SUM(D25:D29)-D27</f>
        <v>#VALUE!</v>
      </c>
      <c r="E30" s="177"/>
      <c r="F30" s="177"/>
      <c r="G30" s="177"/>
      <c r="H30" s="178"/>
    </row>
    <row r="31" spans="1:8" s="1" customFormat="1">
      <c r="C31" s="18"/>
      <c r="D31" s="19"/>
      <c r="E31" s="19"/>
      <c r="F31" s="19"/>
      <c r="G31" s="19"/>
      <c r="H31" s="20"/>
    </row>
    <row r="32" spans="1:8">
      <c r="C32" s="1"/>
      <c r="D32" s="20"/>
    </row>
    <row r="33" spans="2:5">
      <c r="B33" s="9"/>
    </row>
    <row r="34" spans="2:5" ht="12.75">
      <c r="B34" s="3" t="s">
        <v>40</v>
      </c>
      <c r="C34" s="21"/>
      <c r="D34" s="21"/>
      <c r="E34" s="23"/>
    </row>
    <row r="35" spans="2:5" ht="12.75">
      <c r="C35" s="3" t="s">
        <v>41</v>
      </c>
      <c r="E35" s="44"/>
    </row>
    <row r="36" spans="2:5" ht="12.75">
      <c r="C36" s="1"/>
      <c r="D36" s="1"/>
      <c r="E36" s="44"/>
    </row>
    <row r="37" spans="2:5" ht="12.75">
      <c r="C37" s="1"/>
      <c r="D37" s="1"/>
      <c r="E37" s="44"/>
    </row>
    <row r="38" spans="2:5" ht="12.75">
      <c r="E38" s="44"/>
    </row>
    <row r="39" spans="2:5" ht="12.75">
      <c r="B39" s="3" t="s">
        <v>28</v>
      </c>
      <c r="C39" s="21"/>
      <c r="D39" s="21"/>
      <c r="E39" s="23"/>
    </row>
    <row r="40" spans="2:5">
      <c r="B40" s="9"/>
      <c r="C40" s="3" t="s">
        <v>41</v>
      </c>
      <c r="E40" s="117"/>
    </row>
    <row r="47" spans="2:5">
      <c r="C47" s="95"/>
    </row>
    <row r="48" spans="2:5">
      <c r="C48" s="95"/>
    </row>
  </sheetData>
  <mergeCells count="9">
    <mergeCell ref="E12:G12"/>
    <mergeCell ref="H12:H13"/>
    <mergeCell ref="A1:H1"/>
    <mergeCell ref="A2:H2"/>
    <mergeCell ref="A3:F3"/>
    <mergeCell ref="A12:A13"/>
    <mergeCell ref="B12:B13"/>
    <mergeCell ref="C12:C13"/>
    <mergeCell ref="D12:D13"/>
  </mergeCells>
  <phoneticPr fontId="35" type="noConversion"/>
  <pageMargins left="1.4173228346456694" right="0.19685039370078741" top="0.94488188976377963" bottom="0.15748031496062992" header="0.5118110236220472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workbookViewId="0">
      <selection activeCell="C27" sqref="C27"/>
    </sheetView>
  </sheetViews>
  <sheetFormatPr defaultRowHeight="12.75"/>
  <cols>
    <col min="1" max="1" width="3.28515625" style="67" customWidth="1"/>
    <col min="2" max="2" width="7.42578125" style="67" customWidth="1"/>
    <col min="3" max="3" width="56" style="35" customWidth="1"/>
    <col min="4" max="4" width="5.140625" style="36" customWidth="1"/>
    <col min="5" max="5" width="6.85546875" style="37" customWidth="1"/>
    <col min="6" max="6" width="5.42578125" style="36" customWidth="1"/>
    <col min="7" max="7" width="8.28515625" style="36" customWidth="1"/>
    <col min="8" max="8" width="8.14062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16">
      <c r="A1" s="481" t="s">
        <v>30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16">
      <c r="A2" s="482" t="s">
        <v>55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>
      <c r="A7" s="34"/>
      <c r="B7" s="34"/>
      <c r="F7" s="38"/>
      <c r="K7" s="24"/>
      <c r="L7" s="32" t="s">
        <v>76</v>
      </c>
      <c r="M7" s="24"/>
      <c r="N7" s="483">
        <f>P32</f>
        <v>0</v>
      </c>
      <c r="O7" s="483"/>
      <c r="P7" s="24"/>
    </row>
    <row r="8" spans="1:16">
      <c r="A8" s="34"/>
      <c r="B8" s="34"/>
      <c r="F8" s="38"/>
      <c r="L8" s="40" t="str">
        <f>Kopsavilkums!E10</f>
        <v>Tāme sastādīta: 2017. gada .........</v>
      </c>
      <c r="M8" s="41"/>
      <c r="N8" s="39"/>
      <c r="O8" s="41"/>
      <c r="P8" s="41"/>
    </row>
    <row r="9" spans="1:16">
      <c r="A9" s="42"/>
      <c r="B9" s="42"/>
      <c r="C9" s="43"/>
      <c r="L9" s="24"/>
      <c r="M9" s="24"/>
      <c r="N9" s="24"/>
      <c r="O9" s="24"/>
    </row>
    <row r="10" spans="1:16" s="33" customFormat="1" ht="6" customHeight="1" thickBot="1">
      <c r="A10" s="488" t="s">
        <v>17</v>
      </c>
      <c r="B10" s="491" t="s">
        <v>11</v>
      </c>
      <c r="C10" s="470" t="s">
        <v>12</v>
      </c>
      <c r="D10" s="473" t="s">
        <v>18</v>
      </c>
      <c r="E10" s="476" t="s">
        <v>19</v>
      </c>
      <c r="F10" s="479" t="s">
        <v>13</v>
      </c>
      <c r="G10" s="479"/>
      <c r="H10" s="479"/>
      <c r="I10" s="479"/>
      <c r="J10" s="479"/>
      <c r="K10" s="479"/>
      <c r="L10" s="484" t="s">
        <v>14</v>
      </c>
      <c r="M10" s="484"/>
      <c r="N10" s="484"/>
      <c r="O10" s="484"/>
      <c r="P10" s="485"/>
    </row>
    <row r="11" spans="1:16" s="33" customFormat="1" ht="6.75" customHeight="1" thickBot="1">
      <c r="A11" s="489"/>
      <c r="B11" s="492"/>
      <c r="C11" s="471"/>
      <c r="D11" s="474"/>
      <c r="E11" s="477"/>
      <c r="F11" s="480"/>
      <c r="G11" s="480"/>
      <c r="H11" s="480"/>
      <c r="I11" s="480"/>
      <c r="J11" s="480"/>
      <c r="K11" s="480"/>
      <c r="L11" s="486" t="s">
        <v>20</v>
      </c>
      <c r="M11" s="486"/>
      <c r="N11" s="486" t="s">
        <v>21</v>
      </c>
      <c r="O11" s="486"/>
      <c r="P11" s="487" t="s">
        <v>22</v>
      </c>
    </row>
    <row r="12" spans="1:16" s="33" customFormat="1" ht="44.25" customHeight="1">
      <c r="A12" s="490"/>
      <c r="B12" s="493"/>
      <c r="C12" s="472"/>
      <c r="D12" s="475"/>
      <c r="E12" s="478"/>
      <c r="F12" s="97" t="s">
        <v>23</v>
      </c>
      <c r="G12" s="97" t="s">
        <v>70</v>
      </c>
      <c r="H12" s="97" t="s">
        <v>71</v>
      </c>
      <c r="I12" s="97" t="s">
        <v>72</v>
      </c>
      <c r="J12" s="98" t="s">
        <v>73</v>
      </c>
      <c r="K12" s="98" t="s">
        <v>74</v>
      </c>
      <c r="L12" s="99" t="s">
        <v>24</v>
      </c>
      <c r="M12" s="97" t="s">
        <v>71</v>
      </c>
      <c r="N12" s="97" t="s">
        <v>72</v>
      </c>
      <c r="O12" s="98" t="s">
        <v>73</v>
      </c>
      <c r="P12" s="100" t="s">
        <v>75</v>
      </c>
    </row>
    <row r="13" spans="1:16" s="33" customFormat="1">
      <c r="A13" s="96" t="s">
        <v>68</v>
      </c>
      <c r="B13" s="96" t="s">
        <v>69</v>
      </c>
      <c r="C13" s="46">
        <f>B13+1</f>
        <v>3</v>
      </c>
      <c r="D13" s="46">
        <f t="shared" ref="D13:P13" si="0">C13+1</f>
        <v>4</v>
      </c>
      <c r="E13" s="46">
        <f t="shared" si="0"/>
        <v>5</v>
      </c>
      <c r="F13" s="46">
        <f t="shared" si="0"/>
        <v>6</v>
      </c>
      <c r="G13" s="46">
        <f t="shared" si="0"/>
        <v>7</v>
      </c>
      <c r="H13" s="46">
        <f t="shared" si="0"/>
        <v>8</v>
      </c>
      <c r="I13" s="46">
        <f t="shared" si="0"/>
        <v>9</v>
      </c>
      <c r="J13" s="46">
        <f t="shared" si="0"/>
        <v>10</v>
      </c>
      <c r="K13" s="46">
        <f t="shared" si="0"/>
        <v>11</v>
      </c>
      <c r="L13" s="46">
        <f t="shared" si="0"/>
        <v>12</v>
      </c>
      <c r="M13" s="46">
        <f t="shared" si="0"/>
        <v>13</v>
      </c>
      <c r="N13" s="46">
        <f t="shared" si="0"/>
        <v>14</v>
      </c>
      <c r="O13" s="46">
        <f t="shared" si="0"/>
        <v>15</v>
      </c>
      <c r="P13" s="46">
        <f t="shared" si="0"/>
        <v>16</v>
      </c>
    </row>
    <row r="14" spans="1:16" s="33" customFormat="1">
      <c r="A14" s="46"/>
      <c r="B14" s="7"/>
      <c r="C14" s="45" t="s">
        <v>117</v>
      </c>
      <c r="D14" s="101"/>
      <c r="E14" s="49"/>
      <c r="F14" s="52"/>
      <c r="G14" s="50"/>
      <c r="H14" s="51"/>
      <c r="I14" s="51"/>
      <c r="J14" s="51"/>
      <c r="K14" s="51"/>
      <c r="L14" s="50"/>
      <c r="M14" s="51"/>
      <c r="N14" s="51"/>
      <c r="O14" s="51"/>
      <c r="P14" s="51"/>
    </row>
    <row r="15" spans="1:16" s="33" customFormat="1">
      <c r="A15" s="87">
        <v>1</v>
      </c>
      <c r="B15" s="83" t="s">
        <v>39</v>
      </c>
      <c r="C15" s="53" t="s">
        <v>57</v>
      </c>
      <c r="D15" s="54" t="s">
        <v>37</v>
      </c>
      <c r="E15" s="88">
        <v>392</v>
      </c>
      <c r="F15" s="245"/>
      <c r="G15" s="246"/>
      <c r="H15" s="148">
        <f>ROUND(G15*F15,2)</f>
        <v>0</v>
      </c>
      <c r="I15" s="246"/>
      <c r="J15" s="246"/>
      <c r="K15" s="246">
        <f t="shared" ref="K15:K26" si="1">H15+I15+J15</f>
        <v>0</v>
      </c>
      <c r="L15" s="246">
        <f t="shared" ref="L15:L26" si="2">ROUND(E15*F15,2)</f>
        <v>0</v>
      </c>
      <c r="M15" s="246">
        <f t="shared" ref="M15:M26" si="3">ROUND(E15*H15,2)</f>
        <v>0</v>
      </c>
      <c r="N15" s="246"/>
      <c r="O15" s="246"/>
      <c r="P15" s="246">
        <f t="shared" ref="P15:P26" si="4">O15+N15+M15</f>
        <v>0</v>
      </c>
    </row>
    <row r="16" spans="1:16" s="33" customFormat="1">
      <c r="A16" s="107"/>
      <c r="B16" s="85"/>
      <c r="C16" s="58" t="s">
        <v>56</v>
      </c>
      <c r="D16" s="57" t="s">
        <v>52</v>
      </c>
      <c r="E16" s="108">
        <v>4</v>
      </c>
      <c r="F16" s="247"/>
      <c r="G16" s="248"/>
      <c r="H16" s="248"/>
      <c r="I16" s="248"/>
      <c r="J16" s="248"/>
      <c r="K16" s="248">
        <f t="shared" si="1"/>
        <v>0</v>
      </c>
      <c r="L16" s="248"/>
      <c r="M16" s="248"/>
      <c r="N16" s="248"/>
      <c r="O16" s="248">
        <f t="shared" ref="O16:O26" si="5">ROUND(E16*J16,2)</f>
        <v>0</v>
      </c>
      <c r="P16" s="248">
        <f t="shared" si="4"/>
        <v>0</v>
      </c>
    </row>
    <row r="17" spans="1:16" s="33" customFormat="1" ht="25.5">
      <c r="A17" s="332">
        <f>A15+1</f>
        <v>2</v>
      </c>
      <c r="B17" s="330" t="s">
        <v>39</v>
      </c>
      <c r="C17" s="338" t="s">
        <v>98</v>
      </c>
      <c r="D17" s="323" t="s">
        <v>15</v>
      </c>
      <c r="E17" s="333">
        <v>4</v>
      </c>
      <c r="F17" s="339"/>
      <c r="G17" s="319"/>
      <c r="H17" s="324">
        <f>ROUND(G17*F17,2)</f>
        <v>0</v>
      </c>
      <c r="I17" s="319"/>
      <c r="J17" s="319"/>
      <c r="K17" s="319">
        <f t="shared" ref="K17:K22" si="6">H17+I17+J17</f>
        <v>0</v>
      </c>
      <c r="L17" s="319">
        <f t="shared" ref="L17:L22" si="7">ROUND(E17*F17,2)</f>
        <v>0</v>
      </c>
      <c r="M17" s="319">
        <f t="shared" ref="M17:M22" si="8">ROUND(E17*H17,2)</f>
        <v>0</v>
      </c>
      <c r="N17" s="319"/>
      <c r="O17" s="319">
        <f t="shared" ref="O17:O22" si="9">ROUND(E17*J17,2)</f>
        <v>0</v>
      </c>
      <c r="P17" s="319">
        <f t="shared" ref="P17:P22" si="10">O17+N17+M17</f>
        <v>0</v>
      </c>
    </row>
    <row r="18" spans="1:16" s="33" customFormat="1">
      <c r="A18" s="332"/>
      <c r="B18" s="330"/>
      <c r="C18" s="338" t="s">
        <v>95</v>
      </c>
      <c r="D18" s="323" t="s">
        <v>52</v>
      </c>
      <c r="E18" s="333">
        <v>4</v>
      </c>
      <c r="F18" s="339"/>
      <c r="G18" s="319"/>
      <c r="H18" s="324"/>
      <c r="I18" s="319"/>
      <c r="J18" s="319"/>
      <c r="K18" s="319">
        <f t="shared" si="6"/>
        <v>0</v>
      </c>
      <c r="L18" s="319"/>
      <c r="M18" s="319"/>
      <c r="N18" s="319"/>
      <c r="O18" s="319">
        <f t="shared" si="9"/>
        <v>0</v>
      </c>
      <c r="P18" s="319">
        <f t="shared" si="10"/>
        <v>0</v>
      </c>
    </row>
    <row r="19" spans="1:16" s="33" customFormat="1">
      <c r="A19" s="332"/>
      <c r="B19" s="330"/>
      <c r="C19" s="338" t="s">
        <v>96</v>
      </c>
      <c r="D19" s="323" t="s">
        <v>52</v>
      </c>
      <c r="E19" s="333">
        <v>4</v>
      </c>
      <c r="F19" s="339"/>
      <c r="G19" s="319"/>
      <c r="H19" s="324"/>
      <c r="I19" s="319"/>
      <c r="J19" s="319"/>
      <c r="K19" s="319">
        <f t="shared" si="6"/>
        <v>0</v>
      </c>
      <c r="L19" s="319"/>
      <c r="M19" s="319"/>
      <c r="N19" s="319"/>
      <c r="O19" s="319">
        <f t="shared" si="9"/>
        <v>0</v>
      </c>
      <c r="P19" s="319">
        <f t="shared" si="10"/>
        <v>0</v>
      </c>
    </row>
    <row r="20" spans="1:16" s="33" customFormat="1">
      <c r="A20" s="332"/>
      <c r="B20" s="330"/>
      <c r="C20" s="322" t="s">
        <v>158</v>
      </c>
      <c r="D20" s="323" t="s">
        <v>52</v>
      </c>
      <c r="E20" s="333">
        <v>4</v>
      </c>
      <c r="F20" s="339"/>
      <c r="G20" s="319"/>
      <c r="H20" s="324"/>
      <c r="I20" s="319"/>
      <c r="J20" s="319"/>
      <c r="K20" s="319">
        <f t="shared" si="6"/>
        <v>0</v>
      </c>
      <c r="L20" s="319"/>
      <c r="M20" s="319"/>
      <c r="N20" s="319"/>
      <c r="O20" s="319">
        <f t="shared" si="9"/>
        <v>0</v>
      </c>
      <c r="P20" s="319">
        <f t="shared" si="10"/>
        <v>0</v>
      </c>
    </row>
    <row r="21" spans="1:16" s="33" customFormat="1">
      <c r="A21" s="332"/>
      <c r="B21" s="330"/>
      <c r="C21" s="338" t="s">
        <v>97</v>
      </c>
      <c r="D21" s="323" t="s">
        <v>52</v>
      </c>
      <c r="E21" s="333">
        <v>4</v>
      </c>
      <c r="F21" s="339"/>
      <c r="G21" s="319"/>
      <c r="H21" s="324"/>
      <c r="I21" s="319"/>
      <c r="J21" s="319"/>
      <c r="K21" s="319">
        <f t="shared" si="6"/>
        <v>0</v>
      </c>
      <c r="L21" s="319"/>
      <c r="M21" s="319"/>
      <c r="N21" s="319"/>
      <c r="O21" s="319">
        <f t="shared" si="9"/>
        <v>0</v>
      </c>
      <c r="P21" s="319">
        <f t="shared" si="10"/>
        <v>0</v>
      </c>
    </row>
    <row r="22" spans="1:16" s="33" customFormat="1">
      <c r="A22" s="87">
        <f>A17+1</f>
        <v>3</v>
      </c>
      <c r="B22" s="83" t="s">
        <v>39</v>
      </c>
      <c r="C22" s="103" t="s">
        <v>125</v>
      </c>
      <c r="D22" s="54" t="s">
        <v>99</v>
      </c>
      <c r="E22" s="88">
        <v>6</v>
      </c>
      <c r="F22" s="245"/>
      <c r="G22" s="246"/>
      <c r="H22" s="148">
        <f>ROUND(G22*F22,2)</f>
        <v>0</v>
      </c>
      <c r="I22" s="246"/>
      <c r="J22" s="246"/>
      <c r="K22" s="246">
        <f t="shared" si="6"/>
        <v>0</v>
      </c>
      <c r="L22" s="246">
        <f t="shared" si="7"/>
        <v>0</v>
      </c>
      <c r="M22" s="246">
        <f t="shared" si="8"/>
        <v>0</v>
      </c>
      <c r="N22" s="246">
        <f t="shared" ref="N22" si="11">ROUND(E22*I22,2)</f>
        <v>0</v>
      </c>
      <c r="O22" s="246">
        <f t="shared" si="9"/>
        <v>0</v>
      </c>
      <c r="P22" s="246">
        <f t="shared" si="10"/>
        <v>0</v>
      </c>
    </row>
    <row r="23" spans="1:16" s="33" customFormat="1">
      <c r="A23" s="46">
        <v>4</v>
      </c>
      <c r="B23" s="83" t="s">
        <v>39</v>
      </c>
      <c r="C23" s="47" t="s">
        <v>58</v>
      </c>
      <c r="D23" s="48" t="s">
        <v>52</v>
      </c>
      <c r="E23" s="49">
        <v>4</v>
      </c>
      <c r="F23" s="234"/>
      <c r="G23" s="229"/>
      <c r="H23" s="147"/>
      <c r="I23" s="229"/>
      <c r="J23" s="229"/>
      <c r="K23" s="229">
        <f t="shared" si="1"/>
        <v>0</v>
      </c>
      <c r="L23" s="229"/>
      <c r="M23" s="229"/>
      <c r="N23" s="229"/>
      <c r="O23" s="229">
        <f t="shared" si="5"/>
        <v>0</v>
      </c>
      <c r="P23" s="229">
        <f t="shared" si="4"/>
        <v>0</v>
      </c>
    </row>
    <row r="24" spans="1:16" s="33" customFormat="1">
      <c r="A24" s="46">
        <f>A23+1</f>
        <v>5</v>
      </c>
      <c r="B24" s="83" t="s">
        <v>39</v>
      </c>
      <c r="C24" s="47" t="s">
        <v>66</v>
      </c>
      <c r="D24" s="48" t="s">
        <v>15</v>
      </c>
      <c r="E24" s="49">
        <v>1</v>
      </c>
      <c r="F24" s="234"/>
      <c r="G24" s="246"/>
      <c r="H24" s="147">
        <f>ROUND(G24*F24,2)</f>
        <v>0</v>
      </c>
      <c r="I24" s="229"/>
      <c r="J24" s="229"/>
      <c r="K24" s="229">
        <f t="shared" si="1"/>
        <v>0</v>
      </c>
      <c r="L24" s="229">
        <f t="shared" si="2"/>
        <v>0</v>
      </c>
      <c r="M24" s="229">
        <f t="shared" si="3"/>
        <v>0</v>
      </c>
      <c r="N24" s="229">
        <f t="shared" ref="N24:N26" si="12">ROUND(E24*I24,2)</f>
        <v>0</v>
      </c>
      <c r="O24" s="229">
        <f t="shared" si="5"/>
        <v>0</v>
      </c>
      <c r="P24" s="229">
        <f t="shared" si="4"/>
        <v>0</v>
      </c>
    </row>
    <row r="25" spans="1:16" s="33" customFormat="1">
      <c r="A25" s="87">
        <v>6</v>
      </c>
      <c r="B25" s="83" t="s">
        <v>39</v>
      </c>
      <c r="C25" s="121" t="s">
        <v>126</v>
      </c>
      <c r="D25" s="122" t="s">
        <v>127</v>
      </c>
      <c r="E25" s="204">
        <v>1</v>
      </c>
      <c r="F25" s="250"/>
      <c r="G25" s="246"/>
      <c r="H25" s="147">
        <f>ROUND(G25*F25,2)</f>
        <v>0</v>
      </c>
      <c r="I25" s="229"/>
      <c r="J25" s="229"/>
      <c r="K25" s="229">
        <f t="shared" ref="K25" si="13">H25+I25+J25</f>
        <v>0</v>
      </c>
      <c r="L25" s="229">
        <f t="shared" ref="L25" si="14">ROUND(E25*F25,2)</f>
        <v>0</v>
      </c>
      <c r="M25" s="229">
        <f t="shared" ref="M25" si="15">ROUND(E25*H25,2)</f>
        <v>0</v>
      </c>
      <c r="N25" s="229">
        <f t="shared" ref="N25" si="16">ROUND(E25*I25,2)</f>
        <v>0</v>
      </c>
      <c r="O25" s="229">
        <f t="shared" ref="O25" si="17">ROUND(E25*J25,2)</f>
        <v>0</v>
      </c>
      <c r="P25" s="229">
        <f t="shared" ref="P25" si="18">O25+N25+M25</f>
        <v>0</v>
      </c>
    </row>
    <row r="26" spans="1:16" s="33" customFormat="1">
      <c r="A26" s="46">
        <v>7</v>
      </c>
      <c r="B26" s="83" t="s">
        <v>39</v>
      </c>
      <c r="C26" s="47" t="s">
        <v>59</v>
      </c>
      <c r="D26" s="48" t="s">
        <v>33</v>
      </c>
      <c r="E26" s="49">
        <v>1</v>
      </c>
      <c r="F26" s="234"/>
      <c r="G26" s="246"/>
      <c r="H26" s="147">
        <f>ROUND(G26*F26,2)</f>
        <v>0</v>
      </c>
      <c r="I26" s="229"/>
      <c r="J26" s="229"/>
      <c r="K26" s="229">
        <f t="shared" si="1"/>
        <v>0</v>
      </c>
      <c r="L26" s="229">
        <f t="shared" si="2"/>
        <v>0</v>
      </c>
      <c r="M26" s="229">
        <f t="shared" si="3"/>
        <v>0</v>
      </c>
      <c r="N26" s="229">
        <f t="shared" si="12"/>
        <v>0</v>
      </c>
      <c r="O26" s="229">
        <f t="shared" si="5"/>
        <v>0</v>
      </c>
      <c r="P26" s="229">
        <f t="shared" si="4"/>
        <v>0</v>
      </c>
    </row>
    <row r="27" spans="1:16" s="33" customFormat="1">
      <c r="A27" s="46">
        <v>8</v>
      </c>
      <c r="B27" s="83" t="s">
        <v>193</v>
      </c>
      <c r="C27" s="102" t="s">
        <v>196</v>
      </c>
      <c r="D27" s="48" t="s">
        <v>127</v>
      </c>
      <c r="E27" s="49">
        <v>8</v>
      </c>
      <c r="F27" s="234"/>
      <c r="G27" s="246"/>
      <c r="H27" s="147">
        <f>ROUND(G27*F27,2)</f>
        <v>0</v>
      </c>
      <c r="I27" s="229"/>
      <c r="J27" s="229"/>
      <c r="K27" s="229">
        <f t="shared" ref="K27" si="19">H27+I27+J27</f>
        <v>0</v>
      </c>
      <c r="L27" s="229">
        <f t="shared" ref="L27" si="20">ROUND(E27*F27,2)</f>
        <v>0</v>
      </c>
      <c r="M27" s="229">
        <f t="shared" ref="M27" si="21">ROUND(E27*H27,2)</f>
        <v>0</v>
      </c>
      <c r="N27" s="229"/>
      <c r="O27" s="229"/>
      <c r="P27" s="229">
        <f t="shared" ref="P27" si="22">O27+N27+M27</f>
        <v>0</v>
      </c>
    </row>
    <row r="28" spans="1:16" s="33" customFormat="1">
      <c r="A28" s="87">
        <v>9</v>
      </c>
      <c r="B28" s="83" t="s">
        <v>195</v>
      </c>
      <c r="C28" s="102" t="s">
        <v>194</v>
      </c>
      <c r="D28" s="48" t="s">
        <v>52</v>
      </c>
      <c r="E28" s="49">
        <v>4</v>
      </c>
      <c r="F28" s="234"/>
      <c r="G28" s="246"/>
      <c r="H28" s="147"/>
      <c r="I28" s="229"/>
      <c r="J28" s="229"/>
      <c r="K28" s="229">
        <f t="shared" ref="K28" si="23">H28+I28+J28</f>
        <v>0</v>
      </c>
      <c r="L28" s="229"/>
      <c r="M28" s="229"/>
      <c r="N28" s="229"/>
      <c r="O28" s="229">
        <f t="shared" ref="O28" si="24">ROUND(E28*J28,2)</f>
        <v>0</v>
      </c>
      <c r="P28" s="229">
        <f t="shared" ref="P28" si="25">O28+N28+M28</f>
        <v>0</v>
      </c>
    </row>
    <row r="29" spans="1:16" s="33" customFormat="1" ht="13.5" thickBot="1">
      <c r="A29" s="46">
        <v>10</v>
      </c>
      <c r="B29" s="83" t="s">
        <v>39</v>
      </c>
      <c r="C29" s="47" t="s">
        <v>100</v>
      </c>
      <c r="D29" s="48" t="s">
        <v>101</v>
      </c>
      <c r="E29" s="49">
        <v>15</v>
      </c>
      <c r="F29" s="234"/>
      <c r="G29" s="246"/>
      <c r="H29" s="147">
        <f>ROUND(G29*F29,2)</f>
        <v>0</v>
      </c>
      <c r="I29" s="229"/>
      <c r="J29" s="229"/>
      <c r="K29" s="229">
        <f>H29+I29+J29</f>
        <v>0</v>
      </c>
      <c r="L29" s="229">
        <f>ROUND(E29*F29,2)</f>
        <v>0</v>
      </c>
      <c r="M29" s="229">
        <f>ROUND(E29*H29,2)</f>
        <v>0</v>
      </c>
      <c r="N29" s="229">
        <f>ROUND(E29*I29,2)</f>
        <v>0</v>
      </c>
      <c r="O29" s="229">
        <f>ROUND(E29*J29,2)</f>
        <v>0</v>
      </c>
      <c r="P29" s="229">
        <f>O29+N29+M29</f>
        <v>0</v>
      </c>
    </row>
    <row r="30" spans="1:16" s="66" customFormat="1" ht="13.5" thickBot="1">
      <c r="A30" s="61"/>
      <c r="B30" s="4"/>
      <c r="C30" s="62" t="s">
        <v>25</v>
      </c>
      <c r="D30" s="63"/>
      <c r="E30" s="64"/>
      <c r="F30" s="65"/>
      <c r="G30" s="65"/>
      <c r="H30" s="65"/>
      <c r="I30" s="65"/>
      <c r="J30" s="65"/>
      <c r="K30" s="65"/>
      <c r="L30" s="230">
        <f>SUM(L15:L29)</f>
        <v>0</v>
      </c>
      <c r="M30" s="230">
        <f>SUM(M15:M29)</f>
        <v>0</v>
      </c>
      <c r="N30" s="230">
        <f>SUM(N15:N29)</f>
        <v>0</v>
      </c>
      <c r="O30" s="230">
        <f>SUM(O15:O29)</f>
        <v>0</v>
      </c>
      <c r="P30" s="230">
        <f>SUM(P15:P29)</f>
        <v>0</v>
      </c>
    </row>
    <row r="31" spans="1:16">
      <c r="H31" s="24"/>
      <c r="I31" s="24"/>
      <c r="J31" s="68"/>
      <c r="K31" s="68" t="s">
        <v>414</v>
      </c>
      <c r="L31" s="69"/>
      <c r="M31" s="203"/>
      <c r="N31" s="203">
        <f>ROUND(N30*L31,2)</f>
        <v>0</v>
      </c>
      <c r="O31" s="203"/>
      <c r="P31" s="231">
        <f>N31</f>
        <v>0</v>
      </c>
    </row>
    <row r="32" spans="1:16">
      <c r="A32" s="70"/>
      <c r="B32" s="70"/>
      <c r="C32" s="70"/>
      <c r="J32" s="71"/>
      <c r="K32" s="71"/>
      <c r="L32" s="71" t="s">
        <v>79</v>
      </c>
      <c r="M32" s="232">
        <f>M31+M30</f>
        <v>0</v>
      </c>
      <c r="N32" s="232">
        <f>N31+N30</f>
        <v>0</v>
      </c>
      <c r="O32" s="232">
        <f>O31+O30</f>
        <v>0</v>
      </c>
      <c r="P32" s="233">
        <f>P31+P30</f>
        <v>0</v>
      </c>
    </row>
    <row r="33" spans="1:17">
      <c r="N33" s="44"/>
      <c r="O33" s="44"/>
      <c r="P33" s="92"/>
    </row>
    <row r="34" spans="1:17" s="23" customFormat="1">
      <c r="A34" s="72"/>
      <c r="B34" s="73"/>
      <c r="C34" s="72"/>
      <c r="D34" s="72"/>
      <c r="E34" s="74"/>
      <c r="F34" s="75"/>
      <c r="G34" s="75"/>
      <c r="H34" s="75"/>
      <c r="Q34" s="80"/>
    </row>
    <row r="35" spans="1:17" s="23" customFormat="1">
      <c r="A35" s="76"/>
      <c r="B35" s="77"/>
      <c r="C35" s="78"/>
      <c r="P35" s="94"/>
    </row>
    <row r="36" spans="1:17" s="23" customFormat="1">
      <c r="B36" s="78" t="s">
        <v>27</v>
      </c>
      <c r="C36" s="79"/>
      <c r="D36" s="55">
        <f>Kopsavilkums!E34</f>
        <v>0</v>
      </c>
      <c r="E36" s="80"/>
      <c r="J36" s="23" t="s">
        <v>28</v>
      </c>
      <c r="K36" s="81"/>
      <c r="L36" s="81"/>
      <c r="M36" s="81"/>
      <c r="N36" s="55">
        <f>Kopsavilkums!E39</f>
        <v>0</v>
      </c>
    </row>
    <row r="37" spans="1:17" s="23" customFormat="1">
      <c r="C37" s="75" t="s">
        <v>29</v>
      </c>
      <c r="D37" s="82"/>
      <c r="L37" s="78" t="s">
        <v>29</v>
      </c>
      <c r="N37" s="116"/>
    </row>
  </sheetData>
  <mergeCells count="10">
    <mergeCell ref="C10:C12"/>
    <mergeCell ref="D10:D12"/>
    <mergeCell ref="E10:E12"/>
    <mergeCell ref="F10:K11"/>
    <mergeCell ref="A1:P1"/>
    <mergeCell ref="A2:P2"/>
    <mergeCell ref="N7:O7"/>
    <mergeCell ref="L10:P11"/>
    <mergeCell ref="A10:A12"/>
    <mergeCell ref="B10:B12"/>
  </mergeCells>
  <phoneticPr fontId="35" type="noConversion"/>
  <printOptions horizontalCentered="1"/>
  <pageMargins left="0.19685039370078741" right="0.23622047244094491" top="0.98425196850393704" bottom="0.19685039370078741" header="0.51181102362204722" footer="0.51181102362204722"/>
  <pageSetup paperSize="9" scale="85" orientation="landscape" r:id="rId1"/>
  <headerFooter alignWithMargins="0"/>
  <ignoredErrors>
    <ignoredError sqref="A13:B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6"/>
  <sheetViews>
    <sheetView topLeftCell="A40" workbookViewId="0">
      <selection activeCell="U52" sqref="U52"/>
    </sheetView>
  </sheetViews>
  <sheetFormatPr defaultRowHeight="12.75"/>
  <cols>
    <col min="1" max="1" width="3.28515625" style="67" customWidth="1"/>
    <col min="2" max="2" width="8.5703125" style="67" customWidth="1"/>
    <col min="3" max="3" width="55.7109375" style="35" customWidth="1"/>
    <col min="4" max="4" width="6.140625" style="36" customWidth="1"/>
    <col min="5" max="5" width="7.7109375" style="37" customWidth="1"/>
    <col min="6" max="6" width="6.28515625" style="36" customWidth="1"/>
    <col min="7" max="7" width="8.28515625" style="36" customWidth="1"/>
    <col min="8" max="8" width="7.7109375" style="36" customWidth="1"/>
    <col min="9" max="10" width="7.42578125" style="36" customWidth="1"/>
    <col min="11" max="11" width="7.8554687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8" width="10.85546875" style="25" customWidth="1"/>
    <col min="19" max="256" width="11.42578125" style="25" customWidth="1"/>
    <col min="257" max="16384" width="9.140625" style="25"/>
  </cols>
  <sheetData>
    <row r="1" spans="1:16">
      <c r="A1" s="481" t="s">
        <v>80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16">
      <c r="A2" s="482" t="s">
        <v>333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('Būvlaukums 1-1'!A4:G6)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('Būvlaukums 1-1'!A5)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115"/>
      <c r="K5" s="30"/>
      <c r="L5" s="30"/>
      <c r="M5" s="30"/>
      <c r="N5" s="30"/>
      <c r="O5" s="30"/>
      <c r="P5" s="30"/>
    </row>
    <row r="6" spans="1:16" s="27" customFormat="1">
      <c r="A6" s="27" t="str">
        <f>('Būvlaukums 1-1'!A6)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H7" s="226"/>
      <c r="I7" s="187"/>
      <c r="J7" s="187"/>
      <c r="K7" s="187"/>
      <c r="L7" s="187"/>
      <c r="M7" s="187"/>
      <c r="N7" s="187"/>
      <c r="O7" s="187"/>
      <c r="P7" s="187"/>
    </row>
    <row r="8" spans="1:16">
      <c r="A8" s="34"/>
      <c r="B8" s="34"/>
      <c r="F8" s="38"/>
      <c r="K8" s="187"/>
      <c r="L8" s="188" t="s">
        <v>76</v>
      </c>
      <c r="M8" s="187"/>
      <c r="N8" s="483" t="e">
        <f>P71</f>
        <v>#VALUE!</v>
      </c>
      <c r="O8" s="483"/>
      <c r="P8" s="187"/>
    </row>
    <row r="9" spans="1:16">
      <c r="A9" s="34"/>
      <c r="B9" s="34"/>
      <c r="F9" s="38"/>
      <c r="L9" s="40" t="str">
        <f>Kopsavilkums!E10</f>
        <v>Tāme sastādīta: 2017. gada .........</v>
      </c>
      <c r="M9" s="41"/>
      <c r="N9" s="189"/>
      <c r="O9" s="41"/>
      <c r="P9" s="41"/>
    </row>
    <row r="10" spans="1:16">
      <c r="A10" s="42"/>
      <c r="B10" s="42"/>
      <c r="C10" s="43"/>
      <c r="L10" s="187"/>
      <c r="M10" s="187"/>
      <c r="N10" s="187"/>
      <c r="O10" s="187"/>
    </row>
    <row r="11" spans="1:16" s="33" customFormat="1" ht="13.5" thickBot="1">
      <c r="A11" s="488" t="s">
        <v>17</v>
      </c>
      <c r="B11" s="491" t="s">
        <v>11</v>
      </c>
      <c r="C11" s="470" t="s">
        <v>12</v>
      </c>
      <c r="D11" s="473" t="s">
        <v>18</v>
      </c>
      <c r="E11" s="476" t="s">
        <v>19</v>
      </c>
      <c r="F11" s="479" t="s">
        <v>13</v>
      </c>
      <c r="G11" s="479"/>
      <c r="H11" s="479"/>
      <c r="I11" s="479"/>
      <c r="J11" s="479"/>
      <c r="K11" s="479"/>
      <c r="L11" s="484" t="s">
        <v>14</v>
      </c>
      <c r="M11" s="484"/>
      <c r="N11" s="484"/>
      <c r="O11" s="484"/>
      <c r="P11" s="485"/>
    </row>
    <row r="12" spans="1:16" s="33" customFormat="1" ht="13.5" thickBot="1">
      <c r="A12" s="489"/>
      <c r="B12" s="492"/>
      <c r="C12" s="471"/>
      <c r="D12" s="474"/>
      <c r="E12" s="477"/>
      <c r="F12" s="480"/>
      <c r="G12" s="480"/>
      <c r="H12" s="480"/>
      <c r="I12" s="480"/>
      <c r="J12" s="480"/>
      <c r="K12" s="480"/>
      <c r="L12" s="486" t="s">
        <v>20</v>
      </c>
      <c r="M12" s="486"/>
      <c r="N12" s="486" t="s">
        <v>21</v>
      </c>
      <c r="O12" s="486"/>
      <c r="P12" s="487" t="s">
        <v>22</v>
      </c>
    </row>
    <row r="13" spans="1:16" s="33" customFormat="1" ht="45">
      <c r="A13" s="490"/>
      <c r="B13" s="493"/>
      <c r="C13" s="472"/>
      <c r="D13" s="475"/>
      <c r="E13" s="478"/>
      <c r="F13" s="97" t="s">
        <v>23</v>
      </c>
      <c r="G13" s="97" t="s">
        <v>70</v>
      </c>
      <c r="H13" s="97" t="s">
        <v>71</v>
      </c>
      <c r="I13" s="97" t="s">
        <v>72</v>
      </c>
      <c r="J13" s="98" t="s">
        <v>73</v>
      </c>
      <c r="K13" s="98" t="s">
        <v>74</v>
      </c>
      <c r="L13" s="99" t="s">
        <v>24</v>
      </c>
      <c r="M13" s="97" t="s">
        <v>71</v>
      </c>
      <c r="N13" s="97" t="s">
        <v>72</v>
      </c>
      <c r="O13" s="98" t="s">
        <v>73</v>
      </c>
      <c r="P13" s="100" t="s">
        <v>75</v>
      </c>
    </row>
    <row r="14" spans="1:16" s="33" customFormat="1">
      <c r="A14" s="96" t="s">
        <v>68</v>
      </c>
      <c r="B14" s="96" t="s">
        <v>69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 s="33" customFormat="1">
      <c r="A15" s="96" t="s">
        <v>68</v>
      </c>
      <c r="B15" s="275" t="s">
        <v>54</v>
      </c>
      <c r="C15" s="276" t="s">
        <v>228</v>
      </c>
      <c r="D15" s="277" t="s">
        <v>131</v>
      </c>
      <c r="E15" s="255">
        <v>1009.13</v>
      </c>
      <c r="F15" s="254"/>
      <c r="G15" s="267"/>
      <c r="H15" s="151">
        <f t="shared" ref="H15:H28" si="1">ROUND(G15*F15,2)</f>
        <v>0</v>
      </c>
      <c r="I15" s="255"/>
      <c r="J15" s="267"/>
      <c r="K15" s="267">
        <f t="shared" ref="K15:K44" si="2">J15+I15+H15</f>
        <v>0</v>
      </c>
      <c r="L15" s="267">
        <f t="shared" ref="L15:L37" si="3">ROUND(F15*E15,2)</f>
        <v>0</v>
      </c>
      <c r="M15" s="267">
        <f t="shared" ref="M15:M37" si="4">ROUND(H15*E15,2)</f>
        <v>0</v>
      </c>
      <c r="N15" s="267"/>
      <c r="O15" s="267">
        <f t="shared" ref="O15:O37" si="5">ROUND(J15*E15,2)</f>
        <v>0</v>
      </c>
      <c r="P15" s="267">
        <f t="shared" ref="P15:P44" si="6">O15+N15+M15</f>
        <v>0</v>
      </c>
    </row>
    <row r="16" spans="1:16" s="33" customFormat="1">
      <c r="A16" s="96" t="s">
        <v>69</v>
      </c>
      <c r="B16" s="278" t="s">
        <v>143</v>
      </c>
      <c r="C16" s="279" t="s">
        <v>229</v>
      </c>
      <c r="D16" s="280" t="s">
        <v>131</v>
      </c>
      <c r="E16" s="194">
        <v>1009.13</v>
      </c>
      <c r="F16" s="268"/>
      <c r="G16" s="267"/>
      <c r="H16" s="151">
        <f t="shared" si="1"/>
        <v>0</v>
      </c>
      <c r="I16" s="151"/>
      <c r="J16" s="267"/>
      <c r="K16" s="267">
        <f t="shared" si="2"/>
        <v>0</v>
      </c>
      <c r="L16" s="267">
        <f t="shared" si="3"/>
        <v>0</v>
      </c>
      <c r="M16" s="267">
        <f t="shared" si="4"/>
        <v>0</v>
      </c>
      <c r="N16" s="267"/>
      <c r="O16" s="267">
        <f t="shared" si="5"/>
        <v>0</v>
      </c>
      <c r="P16" s="267">
        <f t="shared" si="6"/>
        <v>0</v>
      </c>
    </row>
    <row r="17" spans="1:16" s="33" customFormat="1">
      <c r="A17" s="96"/>
      <c r="B17" s="278"/>
      <c r="C17" s="279" t="s">
        <v>230</v>
      </c>
      <c r="D17" s="280" t="s">
        <v>131</v>
      </c>
      <c r="E17" s="194">
        <f>SUM(E16)*1.1</f>
        <v>1110.04</v>
      </c>
      <c r="F17" s="268"/>
      <c r="G17" s="267"/>
      <c r="H17" s="151"/>
      <c r="I17" s="151"/>
      <c r="J17" s="267"/>
      <c r="K17" s="267">
        <f t="shared" si="2"/>
        <v>0</v>
      </c>
      <c r="L17" s="267"/>
      <c r="M17" s="267"/>
      <c r="N17" s="267">
        <f t="shared" ref="N17:N39" si="7">ROUND(I17*E17,2)</f>
        <v>0</v>
      </c>
      <c r="O17" s="267"/>
      <c r="P17" s="267">
        <f t="shared" si="6"/>
        <v>0</v>
      </c>
    </row>
    <row r="18" spans="1:16" s="33" customFormat="1">
      <c r="A18" s="96" t="s">
        <v>141</v>
      </c>
      <c r="B18" s="278" t="s">
        <v>38</v>
      </c>
      <c r="C18" s="276" t="s">
        <v>231</v>
      </c>
      <c r="D18" s="277" t="s">
        <v>131</v>
      </c>
      <c r="E18" s="195">
        <v>1009.13</v>
      </c>
      <c r="F18" s="268"/>
      <c r="G18" s="267"/>
      <c r="H18" s="151">
        <f t="shared" si="1"/>
        <v>0</v>
      </c>
      <c r="I18" s="151"/>
      <c r="J18" s="267"/>
      <c r="K18" s="267">
        <f t="shared" si="2"/>
        <v>0</v>
      </c>
      <c r="L18" s="267">
        <f t="shared" si="3"/>
        <v>0</v>
      </c>
      <c r="M18" s="267">
        <f t="shared" si="4"/>
        <v>0</v>
      </c>
      <c r="N18" s="267"/>
      <c r="O18" s="267">
        <f t="shared" si="5"/>
        <v>0</v>
      </c>
      <c r="P18" s="267">
        <f t="shared" si="6"/>
        <v>0</v>
      </c>
    </row>
    <row r="19" spans="1:16" s="33" customFormat="1" ht="24">
      <c r="A19" s="96"/>
      <c r="B19" s="278"/>
      <c r="C19" s="276" t="s">
        <v>340</v>
      </c>
      <c r="D19" s="277" t="s">
        <v>131</v>
      </c>
      <c r="E19" s="195">
        <f>SUM(E18)*1.05</f>
        <v>1059.5899999999999</v>
      </c>
      <c r="F19" s="268"/>
      <c r="G19" s="267"/>
      <c r="H19" s="151"/>
      <c r="I19" s="151"/>
      <c r="J19" s="267"/>
      <c r="K19" s="267">
        <f t="shared" si="2"/>
        <v>0</v>
      </c>
      <c r="L19" s="267"/>
      <c r="M19" s="267"/>
      <c r="N19" s="267">
        <f t="shared" si="7"/>
        <v>0</v>
      </c>
      <c r="O19" s="267"/>
      <c r="P19" s="267">
        <f t="shared" si="6"/>
        <v>0</v>
      </c>
    </row>
    <row r="20" spans="1:16" s="33" customFormat="1" ht="24">
      <c r="A20" s="96"/>
      <c r="B20" s="278"/>
      <c r="C20" s="276" t="s">
        <v>341</v>
      </c>
      <c r="D20" s="277" t="s">
        <v>133</v>
      </c>
      <c r="E20" s="195">
        <f>SUM(E18)*1.05</f>
        <v>1059.5899999999999</v>
      </c>
      <c r="F20" s="268"/>
      <c r="G20" s="267"/>
      <c r="H20" s="151"/>
      <c r="I20" s="151"/>
      <c r="J20" s="267"/>
      <c r="K20" s="267">
        <f t="shared" si="2"/>
        <v>0</v>
      </c>
      <c r="L20" s="267"/>
      <c r="M20" s="267"/>
      <c r="N20" s="267">
        <f t="shared" si="7"/>
        <v>0</v>
      </c>
      <c r="O20" s="267"/>
      <c r="P20" s="267">
        <f t="shared" si="6"/>
        <v>0</v>
      </c>
    </row>
    <row r="21" spans="1:16" s="33" customFormat="1" ht="13.5" customHeight="1">
      <c r="A21" s="96"/>
      <c r="B21" s="278"/>
      <c r="C21" s="276" t="s">
        <v>342</v>
      </c>
      <c r="D21" s="277" t="s">
        <v>131</v>
      </c>
      <c r="E21" s="195">
        <f>SUM(E18)*1.05</f>
        <v>1059.5899999999999</v>
      </c>
      <c r="F21" s="268"/>
      <c r="G21" s="267"/>
      <c r="H21" s="151"/>
      <c r="I21" s="151"/>
      <c r="J21" s="267"/>
      <c r="K21" s="267">
        <f t="shared" si="2"/>
        <v>0</v>
      </c>
      <c r="L21" s="267"/>
      <c r="M21" s="267"/>
      <c r="N21" s="267">
        <f t="shared" si="7"/>
        <v>0</v>
      </c>
      <c r="O21" s="267"/>
      <c r="P21" s="267">
        <f t="shared" si="6"/>
        <v>0</v>
      </c>
    </row>
    <row r="22" spans="1:16" s="33" customFormat="1">
      <c r="A22" s="96"/>
      <c r="B22" s="278"/>
      <c r="C22" s="279" t="s">
        <v>232</v>
      </c>
      <c r="D22" s="280" t="s">
        <v>135</v>
      </c>
      <c r="E22" s="194">
        <f>ROUND(SUM(E18)*5,0)</f>
        <v>5046</v>
      </c>
      <c r="F22" s="268"/>
      <c r="G22" s="267"/>
      <c r="H22" s="151"/>
      <c r="I22" s="151"/>
      <c r="J22" s="267"/>
      <c r="K22" s="267">
        <f t="shared" si="2"/>
        <v>0</v>
      </c>
      <c r="L22" s="267"/>
      <c r="M22" s="267"/>
      <c r="N22" s="267">
        <f t="shared" si="7"/>
        <v>0</v>
      </c>
      <c r="O22" s="267"/>
      <c r="P22" s="267">
        <f t="shared" si="6"/>
        <v>0</v>
      </c>
    </row>
    <row r="23" spans="1:16" s="33" customFormat="1">
      <c r="A23" s="96" t="s">
        <v>142</v>
      </c>
      <c r="B23" s="278" t="s">
        <v>143</v>
      </c>
      <c r="C23" s="279" t="s">
        <v>233</v>
      </c>
      <c r="D23" s="280" t="s">
        <v>131</v>
      </c>
      <c r="E23" s="194">
        <v>1009.13</v>
      </c>
      <c r="F23" s="268"/>
      <c r="G23" s="267"/>
      <c r="H23" s="151">
        <f t="shared" si="1"/>
        <v>0</v>
      </c>
      <c r="I23" s="151"/>
      <c r="J23" s="267"/>
      <c r="K23" s="267">
        <f t="shared" si="2"/>
        <v>0</v>
      </c>
      <c r="L23" s="267">
        <f t="shared" si="3"/>
        <v>0</v>
      </c>
      <c r="M23" s="267">
        <f t="shared" si="4"/>
        <v>0</v>
      </c>
      <c r="N23" s="267"/>
      <c r="O23" s="267">
        <f t="shared" si="5"/>
        <v>0</v>
      </c>
      <c r="P23" s="267">
        <f t="shared" si="6"/>
        <v>0</v>
      </c>
    </row>
    <row r="24" spans="1:16" s="33" customFormat="1">
      <c r="A24" s="96"/>
      <c r="B24" s="278"/>
      <c r="C24" s="279" t="s">
        <v>234</v>
      </c>
      <c r="D24" s="280" t="s">
        <v>131</v>
      </c>
      <c r="E24" s="194">
        <f>SUM(E23)*1.15</f>
        <v>1160.5</v>
      </c>
      <c r="F24" s="268"/>
      <c r="G24" s="267"/>
      <c r="H24" s="151"/>
      <c r="I24" s="151"/>
      <c r="J24" s="267"/>
      <c r="K24" s="267">
        <f t="shared" si="2"/>
        <v>0</v>
      </c>
      <c r="L24" s="267"/>
      <c r="M24" s="267"/>
      <c r="N24" s="267">
        <f t="shared" si="7"/>
        <v>0</v>
      </c>
      <c r="O24" s="267"/>
      <c r="P24" s="267">
        <f t="shared" si="6"/>
        <v>0</v>
      </c>
    </row>
    <row r="25" spans="1:16" s="33" customFormat="1">
      <c r="A25" s="96"/>
      <c r="B25" s="278"/>
      <c r="C25" s="279" t="s">
        <v>235</v>
      </c>
      <c r="D25" s="280" t="s">
        <v>131</v>
      </c>
      <c r="E25" s="194">
        <f>SUM(E23)*1.15</f>
        <v>1160.5</v>
      </c>
      <c r="F25" s="268"/>
      <c r="G25" s="267"/>
      <c r="H25" s="151"/>
      <c r="I25" s="151"/>
      <c r="J25" s="267"/>
      <c r="K25" s="267">
        <f t="shared" si="2"/>
        <v>0</v>
      </c>
      <c r="L25" s="267"/>
      <c r="M25" s="267"/>
      <c r="N25" s="267">
        <f t="shared" si="7"/>
        <v>0</v>
      </c>
      <c r="O25" s="267"/>
      <c r="P25" s="267">
        <f t="shared" si="6"/>
        <v>0</v>
      </c>
    </row>
    <row r="26" spans="1:16" s="33" customFormat="1">
      <c r="A26" s="96"/>
      <c r="B26" s="278"/>
      <c r="C26" s="279" t="s">
        <v>236</v>
      </c>
      <c r="D26" s="280" t="s">
        <v>131</v>
      </c>
      <c r="E26" s="194">
        <f>SUM(E23)</f>
        <v>1009.13</v>
      </c>
      <c r="F26" s="268"/>
      <c r="G26" s="267"/>
      <c r="H26" s="151"/>
      <c r="I26" s="151"/>
      <c r="J26" s="267"/>
      <c r="K26" s="267">
        <f t="shared" si="2"/>
        <v>0</v>
      </c>
      <c r="L26" s="267"/>
      <c r="M26" s="267"/>
      <c r="N26" s="267">
        <f t="shared" si="7"/>
        <v>0</v>
      </c>
      <c r="O26" s="267"/>
      <c r="P26" s="267">
        <f t="shared" si="6"/>
        <v>0</v>
      </c>
    </row>
    <row r="27" spans="1:16" s="33" customFormat="1">
      <c r="A27" s="96"/>
      <c r="B27" s="278"/>
      <c r="C27" s="279" t="s">
        <v>78</v>
      </c>
      <c r="D27" s="280" t="s">
        <v>131</v>
      </c>
      <c r="E27" s="194">
        <f>SUM(E23)</f>
        <v>1009.13</v>
      </c>
      <c r="F27" s="268"/>
      <c r="G27" s="267"/>
      <c r="H27" s="151"/>
      <c r="I27" s="151"/>
      <c r="J27" s="267"/>
      <c r="K27" s="267">
        <f t="shared" si="2"/>
        <v>0</v>
      </c>
      <c r="L27" s="267"/>
      <c r="M27" s="267"/>
      <c r="N27" s="267">
        <f t="shared" si="7"/>
        <v>0</v>
      </c>
      <c r="O27" s="267"/>
      <c r="P27" s="267">
        <f t="shared" si="6"/>
        <v>0</v>
      </c>
    </row>
    <row r="28" spans="1:16" s="33" customFormat="1">
      <c r="A28" s="96" t="s">
        <v>200</v>
      </c>
      <c r="B28" s="278" t="s">
        <v>143</v>
      </c>
      <c r="C28" s="279" t="s">
        <v>237</v>
      </c>
      <c r="D28" s="280" t="s">
        <v>135</v>
      </c>
      <c r="E28" s="194">
        <v>14</v>
      </c>
      <c r="F28" s="268"/>
      <c r="G28" s="267"/>
      <c r="H28" s="151">
        <f t="shared" si="1"/>
        <v>0</v>
      </c>
      <c r="I28" s="151"/>
      <c r="J28" s="267"/>
      <c r="K28" s="267">
        <f t="shared" si="2"/>
        <v>0</v>
      </c>
      <c r="L28" s="267">
        <f t="shared" si="3"/>
        <v>0</v>
      </c>
      <c r="M28" s="267">
        <f t="shared" si="4"/>
        <v>0</v>
      </c>
      <c r="N28" s="267">
        <f t="shared" si="7"/>
        <v>0</v>
      </c>
      <c r="O28" s="267">
        <f t="shared" si="5"/>
        <v>0</v>
      </c>
      <c r="P28" s="267">
        <f t="shared" si="6"/>
        <v>0</v>
      </c>
    </row>
    <row r="29" spans="1:16" s="33" customFormat="1">
      <c r="A29" s="96" t="s">
        <v>201</v>
      </c>
      <c r="B29" s="278" t="s">
        <v>143</v>
      </c>
      <c r="C29" s="279" t="s">
        <v>270</v>
      </c>
      <c r="D29" s="280" t="s">
        <v>135</v>
      </c>
      <c r="E29" s="194">
        <v>6</v>
      </c>
      <c r="F29" s="268"/>
      <c r="G29" s="267"/>
      <c r="H29" s="151">
        <f t="shared" ref="H29" si="8">ROUND(G29*F29,2)</f>
        <v>0</v>
      </c>
      <c r="I29" s="151"/>
      <c r="J29" s="267"/>
      <c r="K29" s="267">
        <f t="shared" ref="K29" si="9">J29+I29+H29</f>
        <v>0</v>
      </c>
      <c r="L29" s="267">
        <f t="shared" ref="L29" si="10">ROUND(F29*E29,2)</f>
        <v>0</v>
      </c>
      <c r="M29" s="267">
        <f t="shared" ref="M29" si="11">ROUND(H29*E29,2)</f>
        <v>0</v>
      </c>
      <c r="N29" s="267">
        <f t="shared" ref="N29" si="12">ROUND(I29*E29,2)</f>
        <v>0</v>
      </c>
      <c r="O29" s="267">
        <f t="shared" ref="O29" si="13">ROUND(J29*E29,2)</f>
        <v>0</v>
      </c>
      <c r="P29" s="267">
        <f t="shared" ref="P29" si="14">O29+N29+M29</f>
        <v>0</v>
      </c>
    </row>
    <row r="30" spans="1:16" s="33" customFormat="1" ht="13.5">
      <c r="A30" s="96" t="s">
        <v>202</v>
      </c>
      <c r="B30" s="281" t="s">
        <v>67</v>
      </c>
      <c r="C30" s="152" t="s">
        <v>167</v>
      </c>
      <c r="D30" s="281" t="s">
        <v>171</v>
      </c>
      <c r="E30" s="151">
        <v>125.2</v>
      </c>
      <c r="F30" s="269"/>
      <c r="G30" s="267"/>
      <c r="H30" s="151">
        <f>ROUND(G30*F30,2)</f>
        <v>0</v>
      </c>
      <c r="I30" s="267"/>
      <c r="J30" s="267"/>
      <c r="K30" s="267">
        <f t="shared" si="2"/>
        <v>0</v>
      </c>
      <c r="L30" s="267">
        <f t="shared" si="3"/>
        <v>0</v>
      </c>
      <c r="M30" s="267">
        <f t="shared" si="4"/>
        <v>0</v>
      </c>
      <c r="N30" s="267"/>
      <c r="O30" s="267">
        <f t="shared" si="5"/>
        <v>0</v>
      </c>
      <c r="P30" s="267">
        <f t="shared" si="6"/>
        <v>0</v>
      </c>
    </row>
    <row r="31" spans="1:16" s="33" customFormat="1" ht="13.5">
      <c r="A31" s="96"/>
      <c r="B31" s="281"/>
      <c r="C31" s="300" t="s">
        <v>32</v>
      </c>
      <c r="D31" s="281" t="s">
        <v>171</v>
      </c>
      <c r="E31" s="151">
        <f>E30*1.15</f>
        <v>143.97999999999999</v>
      </c>
      <c r="F31" s="269"/>
      <c r="G31" s="267"/>
      <c r="H31" s="267"/>
      <c r="I31" s="267"/>
      <c r="J31" s="267"/>
      <c r="K31" s="267">
        <f t="shared" si="2"/>
        <v>0</v>
      </c>
      <c r="L31" s="267"/>
      <c r="M31" s="267"/>
      <c r="N31" s="267">
        <f t="shared" si="7"/>
        <v>0</v>
      </c>
      <c r="O31" s="267"/>
      <c r="P31" s="267">
        <f t="shared" si="6"/>
        <v>0</v>
      </c>
    </row>
    <row r="32" spans="1:16" s="33" customFormat="1">
      <c r="A32" s="96"/>
      <c r="B32" s="281"/>
      <c r="C32" s="300" t="s">
        <v>31</v>
      </c>
      <c r="D32" s="281" t="s">
        <v>35</v>
      </c>
      <c r="E32" s="151">
        <f>E30*6</f>
        <v>751.2</v>
      </c>
      <c r="F32" s="269"/>
      <c r="G32" s="267"/>
      <c r="H32" s="267"/>
      <c r="I32" s="267"/>
      <c r="J32" s="267"/>
      <c r="K32" s="267">
        <f t="shared" si="2"/>
        <v>0</v>
      </c>
      <c r="L32" s="267"/>
      <c r="M32" s="267"/>
      <c r="N32" s="267">
        <f t="shared" si="7"/>
        <v>0</v>
      </c>
      <c r="O32" s="267"/>
      <c r="P32" s="267">
        <f t="shared" si="6"/>
        <v>0</v>
      </c>
    </row>
    <row r="33" spans="1:16" s="33" customFormat="1">
      <c r="A33" s="96"/>
      <c r="B33" s="281"/>
      <c r="C33" s="300" t="s">
        <v>146</v>
      </c>
      <c r="D33" s="281" t="s">
        <v>37</v>
      </c>
      <c r="E33" s="151">
        <v>60</v>
      </c>
      <c r="F33" s="269"/>
      <c r="G33" s="267"/>
      <c r="H33" s="267"/>
      <c r="I33" s="267"/>
      <c r="J33" s="267"/>
      <c r="K33" s="267">
        <f t="shared" si="2"/>
        <v>0</v>
      </c>
      <c r="L33" s="267"/>
      <c r="M33" s="267"/>
      <c r="N33" s="267">
        <f t="shared" si="7"/>
        <v>0</v>
      </c>
      <c r="O33" s="267"/>
      <c r="P33" s="267">
        <f t="shared" si="6"/>
        <v>0</v>
      </c>
    </row>
    <row r="34" spans="1:16" s="33" customFormat="1" ht="13.5">
      <c r="A34" s="96" t="s">
        <v>203</v>
      </c>
      <c r="B34" s="281" t="s">
        <v>67</v>
      </c>
      <c r="C34" s="152" t="s">
        <v>168</v>
      </c>
      <c r="D34" s="281" t="s">
        <v>171</v>
      </c>
      <c r="E34" s="151">
        <f>E30</f>
        <v>125.2</v>
      </c>
      <c r="F34" s="269"/>
      <c r="G34" s="267"/>
      <c r="H34" s="151">
        <f>ROUND(G34*F34,2)</f>
        <v>0</v>
      </c>
      <c r="I34" s="267"/>
      <c r="J34" s="267"/>
      <c r="K34" s="267">
        <f t="shared" si="2"/>
        <v>0</v>
      </c>
      <c r="L34" s="267">
        <f t="shared" si="3"/>
        <v>0</v>
      </c>
      <c r="M34" s="267">
        <f t="shared" si="4"/>
        <v>0</v>
      </c>
      <c r="N34" s="267"/>
      <c r="O34" s="267">
        <f t="shared" si="5"/>
        <v>0</v>
      </c>
      <c r="P34" s="267">
        <f t="shared" si="6"/>
        <v>0</v>
      </c>
    </row>
    <row r="35" spans="1:16" s="33" customFormat="1">
      <c r="A35" s="96"/>
      <c r="B35" s="281"/>
      <c r="C35" s="300" t="s">
        <v>65</v>
      </c>
      <c r="D35" s="281" t="s">
        <v>35</v>
      </c>
      <c r="E35" s="151">
        <v>362</v>
      </c>
      <c r="F35" s="269"/>
      <c r="G35" s="267"/>
      <c r="H35" s="267"/>
      <c r="I35" s="267"/>
      <c r="J35" s="267"/>
      <c r="K35" s="267">
        <f t="shared" si="2"/>
        <v>0</v>
      </c>
      <c r="L35" s="267"/>
      <c r="M35" s="267"/>
      <c r="N35" s="267">
        <f t="shared" si="7"/>
        <v>0</v>
      </c>
      <c r="O35" s="267"/>
      <c r="P35" s="267">
        <f t="shared" si="6"/>
        <v>0</v>
      </c>
    </row>
    <row r="36" spans="1:16" s="33" customFormat="1">
      <c r="A36" s="96"/>
      <c r="B36" s="281"/>
      <c r="C36" s="300" t="s">
        <v>48</v>
      </c>
      <c r="D36" s="281" t="s">
        <v>35</v>
      </c>
      <c r="E36" s="151">
        <f>E34*1.8*2.5</f>
        <v>563.4</v>
      </c>
      <c r="F36" s="269"/>
      <c r="G36" s="267"/>
      <c r="H36" s="267"/>
      <c r="I36" s="267"/>
      <c r="J36" s="267"/>
      <c r="K36" s="267">
        <f t="shared" si="2"/>
        <v>0</v>
      </c>
      <c r="L36" s="267"/>
      <c r="M36" s="267"/>
      <c r="N36" s="267">
        <f t="shared" si="7"/>
        <v>0</v>
      </c>
      <c r="O36" s="267"/>
      <c r="P36" s="267">
        <f t="shared" si="6"/>
        <v>0</v>
      </c>
    </row>
    <row r="37" spans="1:16" s="33" customFormat="1" ht="13.5">
      <c r="A37" s="96" t="s">
        <v>204</v>
      </c>
      <c r="B37" s="281" t="s">
        <v>67</v>
      </c>
      <c r="C37" s="152" t="s">
        <v>169</v>
      </c>
      <c r="D37" s="281" t="s">
        <v>171</v>
      </c>
      <c r="E37" s="151">
        <f>SUM(E30)</f>
        <v>125.2</v>
      </c>
      <c r="F37" s="269"/>
      <c r="G37" s="267"/>
      <c r="H37" s="151">
        <f>ROUND(G37*F37,2)</f>
        <v>0</v>
      </c>
      <c r="I37" s="267"/>
      <c r="J37" s="267"/>
      <c r="K37" s="267">
        <f t="shared" si="2"/>
        <v>0</v>
      </c>
      <c r="L37" s="267">
        <f t="shared" si="3"/>
        <v>0</v>
      </c>
      <c r="M37" s="267">
        <f t="shared" si="4"/>
        <v>0</v>
      </c>
      <c r="N37" s="267"/>
      <c r="O37" s="267">
        <f t="shared" si="5"/>
        <v>0</v>
      </c>
      <c r="P37" s="267">
        <f t="shared" si="6"/>
        <v>0</v>
      </c>
    </row>
    <row r="38" spans="1:16" s="33" customFormat="1">
      <c r="A38" s="96"/>
      <c r="B38" s="281"/>
      <c r="C38" s="300" t="s">
        <v>50</v>
      </c>
      <c r="D38" s="281" t="s">
        <v>35</v>
      </c>
      <c r="E38" s="151">
        <f>E37*0.18</f>
        <v>22.54</v>
      </c>
      <c r="F38" s="269"/>
      <c r="G38" s="267"/>
      <c r="H38" s="267"/>
      <c r="I38" s="267"/>
      <c r="J38" s="267"/>
      <c r="K38" s="267">
        <f t="shared" si="2"/>
        <v>0</v>
      </c>
      <c r="L38" s="267"/>
      <c r="M38" s="267"/>
      <c r="N38" s="267">
        <f t="shared" si="7"/>
        <v>0</v>
      </c>
      <c r="O38" s="267"/>
      <c r="P38" s="267">
        <f t="shared" si="6"/>
        <v>0</v>
      </c>
    </row>
    <row r="39" spans="1:16" s="33" customFormat="1">
      <c r="A39" s="96"/>
      <c r="B39" s="281"/>
      <c r="C39" s="300" t="s">
        <v>161</v>
      </c>
      <c r="D39" s="281" t="s">
        <v>35</v>
      </c>
      <c r="E39" s="151">
        <f>E37*0.3</f>
        <v>37.56</v>
      </c>
      <c r="F39" s="269"/>
      <c r="G39" s="267"/>
      <c r="H39" s="267"/>
      <c r="I39" s="267"/>
      <c r="J39" s="267"/>
      <c r="K39" s="267">
        <f t="shared" si="2"/>
        <v>0</v>
      </c>
      <c r="L39" s="267"/>
      <c r="M39" s="267"/>
      <c r="N39" s="267">
        <f t="shared" si="7"/>
        <v>0</v>
      </c>
      <c r="O39" s="267"/>
      <c r="P39" s="267">
        <f t="shared" si="6"/>
        <v>0</v>
      </c>
    </row>
    <row r="40" spans="1:16" s="33" customFormat="1">
      <c r="A40" s="96" t="s">
        <v>173</v>
      </c>
      <c r="B40" s="282" t="s">
        <v>143</v>
      </c>
      <c r="C40" s="283" t="s">
        <v>172</v>
      </c>
      <c r="D40" s="284" t="s">
        <v>131</v>
      </c>
      <c r="E40" s="252">
        <v>47.73</v>
      </c>
      <c r="F40" s="251"/>
      <c r="G40" s="251"/>
      <c r="H40" s="252">
        <f>G40*F40</f>
        <v>0</v>
      </c>
      <c r="I40" s="252"/>
      <c r="J40" s="153"/>
      <c r="K40" s="252">
        <f t="shared" si="2"/>
        <v>0</v>
      </c>
      <c r="L40" s="252">
        <f>F40*E40</f>
        <v>0</v>
      </c>
      <c r="M40" s="252">
        <f>H40*E40</f>
        <v>0</v>
      </c>
      <c r="N40" s="252">
        <f t="shared" ref="N40" si="15">I40*E40</f>
        <v>0</v>
      </c>
      <c r="O40" s="252">
        <f>J40*E40</f>
        <v>0</v>
      </c>
      <c r="P40" s="252">
        <f t="shared" si="6"/>
        <v>0</v>
      </c>
    </row>
    <row r="41" spans="1:16" s="33" customFormat="1">
      <c r="A41" s="96" t="s">
        <v>174</v>
      </c>
      <c r="B41" s="275" t="s">
        <v>143</v>
      </c>
      <c r="C41" s="285" t="s">
        <v>170</v>
      </c>
      <c r="D41" s="286" t="s">
        <v>37</v>
      </c>
      <c r="E41" s="255">
        <v>216.9</v>
      </c>
      <c r="F41" s="253"/>
      <c r="G41" s="254"/>
      <c r="H41" s="255">
        <f>G41*F41</f>
        <v>0</v>
      </c>
      <c r="I41" s="256"/>
      <c r="J41" s="151"/>
      <c r="K41" s="255">
        <f t="shared" si="2"/>
        <v>0</v>
      </c>
      <c r="L41" s="255">
        <f>F41*E41</f>
        <v>0</v>
      </c>
      <c r="M41" s="255">
        <f>H41*E41</f>
        <v>0</v>
      </c>
      <c r="N41" s="255"/>
      <c r="O41" s="255">
        <f>J41*E41</f>
        <v>0</v>
      </c>
      <c r="P41" s="255">
        <f t="shared" si="6"/>
        <v>0</v>
      </c>
    </row>
    <row r="42" spans="1:16" s="33" customFormat="1">
      <c r="A42" s="96"/>
      <c r="B42" s="275"/>
      <c r="C42" s="285" t="s">
        <v>273</v>
      </c>
      <c r="D42" s="286" t="s">
        <v>134</v>
      </c>
      <c r="E42" s="255">
        <v>220</v>
      </c>
      <c r="F42" s="253"/>
      <c r="G42" s="254"/>
      <c r="H42" s="255"/>
      <c r="I42" s="256"/>
      <c r="J42" s="151"/>
      <c r="K42" s="255">
        <f t="shared" si="2"/>
        <v>0</v>
      </c>
      <c r="L42" s="255"/>
      <c r="M42" s="255"/>
      <c r="N42" s="255">
        <f t="shared" ref="N42:N44" si="16">I42*E42</f>
        <v>0</v>
      </c>
      <c r="O42" s="255"/>
      <c r="P42" s="255">
        <f t="shared" si="6"/>
        <v>0</v>
      </c>
    </row>
    <row r="43" spans="1:16" s="33" customFormat="1" ht="12.75" customHeight="1">
      <c r="A43" s="96"/>
      <c r="B43" s="275"/>
      <c r="C43" s="285" t="s">
        <v>78</v>
      </c>
      <c r="D43" s="286" t="s">
        <v>129</v>
      </c>
      <c r="E43" s="255">
        <v>1</v>
      </c>
      <c r="F43" s="253"/>
      <c r="G43" s="254"/>
      <c r="H43" s="255"/>
      <c r="I43" s="256"/>
      <c r="J43" s="151"/>
      <c r="K43" s="255">
        <f t="shared" si="2"/>
        <v>0</v>
      </c>
      <c r="L43" s="255"/>
      <c r="M43" s="255"/>
      <c r="N43" s="255">
        <f t="shared" si="16"/>
        <v>0</v>
      </c>
      <c r="O43" s="255"/>
      <c r="P43" s="255">
        <f t="shared" si="6"/>
        <v>0</v>
      </c>
    </row>
    <row r="44" spans="1:16" s="33" customFormat="1">
      <c r="A44" s="96" t="s">
        <v>175</v>
      </c>
      <c r="B44" s="282" t="s">
        <v>143</v>
      </c>
      <c r="C44" s="283" t="s">
        <v>136</v>
      </c>
      <c r="D44" s="284" t="s">
        <v>135</v>
      </c>
      <c r="E44" s="252">
        <v>2</v>
      </c>
      <c r="F44" s="251"/>
      <c r="G44" s="251"/>
      <c r="H44" s="252">
        <f>G44*F44</f>
        <v>0</v>
      </c>
      <c r="I44" s="252"/>
      <c r="J44" s="153"/>
      <c r="K44" s="252">
        <f t="shared" si="2"/>
        <v>0</v>
      </c>
      <c r="L44" s="252">
        <f>F44*E44</f>
        <v>0</v>
      </c>
      <c r="M44" s="252">
        <f>H44*E44</f>
        <v>0</v>
      </c>
      <c r="N44" s="252">
        <f t="shared" si="16"/>
        <v>0</v>
      </c>
      <c r="O44" s="252">
        <f>J44*E44</f>
        <v>0</v>
      </c>
      <c r="P44" s="252">
        <f t="shared" si="6"/>
        <v>0</v>
      </c>
    </row>
    <row r="45" spans="1:16" s="33" customFormat="1">
      <c r="A45" s="96" t="s">
        <v>176</v>
      </c>
      <c r="B45" s="282" t="s">
        <v>143</v>
      </c>
      <c r="C45" s="287" t="s">
        <v>269</v>
      </c>
      <c r="D45" s="288" t="s">
        <v>37</v>
      </c>
      <c r="E45" s="258">
        <v>216.9</v>
      </c>
      <c r="F45" s="257"/>
      <c r="G45" s="257"/>
      <c r="H45" s="258">
        <f>G45*F45</f>
        <v>0</v>
      </c>
      <c r="I45" s="258"/>
      <c r="J45" s="151"/>
      <c r="K45" s="258">
        <f t="shared" ref="K45" si="17">J45+I45+H45</f>
        <v>0</v>
      </c>
      <c r="L45" s="258">
        <f>F45*E45</f>
        <v>0</v>
      </c>
      <c r="M45" s="258">
        <f>H45*E45</f>
        <v>0</v>
      </c>
      <c r="N45" s="258">
        <f t="shared" ref="N45" si="18">I45*E45</f>
        <v>0</v>
      </c>
      <c r="O45" s="259">
        <f>J45*E45</f>
        <v>0</v>
      </c>
      <c r="P45" s="252">
        <f t="shared" ref="P45" si="19">O45+N45+M45</f>
        <v>0</v>
      </c>
    </row>
    <row r="46" spans="1:16" s="33" customFormat="1">
      <c r="A46" s="96"/>
      <c r="B46" s="289"/>
      <c r="C46" s="290" t="s">
        <v>205</v>
      </c>
      <c r="D46" s="291"/>
      <c r="E46" s="198"/>
      <c r="F46" s="260"/>
      <c r="G46" s="260"/>
      <c r="H46" s="202"/>
      <c r="I46" s="202"/>
      <c r="J46" s="202"/>
      <c r="K46" s="261"/>
      <c r="L46" s="261"/>
      <c r="M46" s="261"/>
      <c r="N46" s="261"/>
      <c r="O46" s="262"/>
      <c r="P46" s="262"/>
    </row>
    <row r="47" spans="1:16" s="33" customFormat="1">
      <c r="A47" s="96" t="s">
        <v>68</v>
      </c>
      <c r="B47" s="275" t="s">
        <v>54</v>
      </c>
      <c r="C47" s="292" t="s">
        <v>228</v>
      </c>
      <c r="D47" s="277" t="s">
        <v>131</v>
      </c>
      <c r="E47" s="200">
        <v>31.95</v>
      </c>
      <c r="F47" s="254"/>
      <c r="G47" s="267"/>
      <c r="H47" s="151">
        <f t="shared" ref="H47" si="20">ROUND(G47*F47,2)</f>
        <v>0</v>
      </c>
      <c r="I47" s="255"/>
      <c r="J47" s="267"/>
      <c r="K47" s="267">
        <f t="shared" ref="K47" si="21">J47+I47+H47</f>
        <v>0</v>
      </c>
      <c r="L47" s="267">
        <f t="shared" ref="L47" si="22">ROUND(F47*E47,2)</f>
        <v>0</v>
      </c>
      <c r="M47" s="267">
        <f t="shared" ref="M47" si="23">ROUND(H47*E47,2)</f>
        <v>0</v>
      </c>
      <c r="N47" s="267"/>
      <c r="O47" s="267">
        <f t="shared" ref="O47" si="24">ROUND(J47*E47,2)</f>
        <v>0</v>
      </c>
      <c r="P47" s="267">
        <f t="shared" ref="P47" si="25">O47+N47+M47</f>
        <v>0</v>
      </c>
    </row>
    <row r="48" spans="1:16" s="33" customFormat="1">
      <c r="A48" s="96" t="s">
        <v>69</v>
      </c>
      <c r="B48" s="275" t="s">
        <v>54</v>
      </c>
      <c r="C48" s="292" t="s">
        <v>271</v>
      </c>
      <c r="D48" s="277" t="s">
        <v>131</v>
      </c>
      <c r="E48" s="200">
        <v>31.95</v>
      </c>
      <c r="F48" s="254"/>
      <c r="G48" s="267"/>
      <c r="H48" s="151">
        <f t="shared" ref="H48" si="26">ROUND(G48*F48,2)</f>
        <v>0</v>
      </c>
      <c r="I48" s="255"/>
      <c r="J48" s="267"/>
      <c r="K48" s="267">
        <f t="shared" ref="K48" si="27">J48+I48+H48</f>
        <v>0</v>
      </c>
      <c r="L48" s="267">
        <f t="shared" ref="L48" si="28">ROUND(F48*E48,2)</f>
        <v>0</v>
      </c>
      <c r="M48" s="267">
        <f t="shared" ref="M48" si="29">ROUND(H48*E48,2)</f>
        <v>0</v>
      </c>
      <c r="N48" s="267"/>
      <c r="O48" s="267">
        <f t="shared" ref="O48" si="30">ROUND(J48*E48,2)</f>
        <v>0</v>
      </c>
      <c r="P48" s="267">
        <f t="shared" ref="P48" si="31">O48+N48+M48</f>
        <v>0</v>
      </c>
    </row>
    <row r="49" spans="1:16" s="33" customFormat="1">
      <c r="A49" s="96" t="s">
        <v>141</v>
      </c>
      <c r="B49" s="293" t="s">
        <v>143</v>
      </c>
      <c r="C49" s="397" t="s">
        <v>419</v>
      </c>
      <c r="D49" s="398" t="s">
        <v>15</v>
      </c>
      <c r="E49" s="200">
        <v>6</v>
      </c>
      <c r="F49" s="263"/>
      <c r="G49" s="263"/>
      <c r="H49" s="147"/>
      <c r="I49" s="147"/>
      <c r="J49" s="147"/>
      <c r="K49" s="262">
        <f t="shared" ref="K49:K61" si="32">J49+I49+H49</f>
        <v>0</v>
      </c>
      <c r="L49" s="262">
        <f t="shared" ref="L49:L52" si="33">F49*E49</f>
        <v>0</v>
      </c>
      <c r="M49" s="262">
        <f t="shared" ref="M49:M52" si="34">H49*E49</f>
        <v>0</v>
      </c>
      <c r="N49" s="262"/>
      <c r="O49" s="262">
        <f t="shared" ref="O49:O52" si="35">J49*E49</f>
        <v>0</v>
      </c>
      <c r="P49" s="262">
        <f t="shared" ref="P49:P61" si="36">O49+N49+M49</f>
        <v>0</v>
      </c>
    </row>
    <row r="50" spans="1:16" s="33" customFormat="1">
      <c r="A50" s="96" t="s">
        <v>142</v>
      </c>
      <c r="B50" s="293" t="s">
        <v>143</v>
      </c>
      <c r="C50" s="399" t="s">
        <v>420</v>
      </c>
      <c r="D50" s="400" t="s">
        <v>131</v>
      </c>
      <c r="E50" s="199">
        <v>63.9</v>
      </c>
      <c r="F50" s="264"/>
      <c r="G50" s="263"/>
      <c r="H50" s="147"/>
      <c r="I50" s="147"/>
      <c r="J50" s="147"/>
      <c r="K50" s="262">
        <f t="shared" si="32"/>
        <v>0</v>
      </c>
      <c r="L50" s="262">
        <f t="shared" si="33"/>
        <v>0</v>
      </c>
      <c r="M50" s="262">
        <f t="shared" si="34"/>
        <v>0</v>
      </c>
      <c r="N50" s="262"/>
      <c r="O50" s="262">
        <f t="shared" si="35"/>
        <v>0</v>
      </c>
      <c r="P50" s="262">
        <f t="shared" si="36"/>
        <v>0</v>
      </c>
    </row>
    <row r="51" spans="1:16" s="33" customFormat="1">
      <c r="A51" s="96"/>
      <c r="B51" s="293"/>
      <c r="C51" s="399" t="s">
        <v>421</v>
      </c>
      <c r="D51" s="400" t="s">
        <v>131</v>
      </c>
      <c r="E51" s="199">
        <v>71.760000000000005</v>
      </c>
      <c r="F51" s="264"/>
      <c r="G51" s="263"/>
      <c r="H51" s="147"/>
      <c r="I51" s="147"/>
      <c r="J51" s="147"/>
      <c r="K51" s="262">
        <f t="shared" si="32"/>
        <v>0</v>
      </c>
      <c r="L51" s="262"/>
      <c r="M51" s="262"/>
      <c r="N51" s="262">
        <f t="shared" ref="N51:N53" si="37">I51*E51</f>
        <v>0</v>
      </c>
      <c r="O51" s="262"/>
      <c r="P51" s="262">
        <f t="shared" si="36"/>
        <v>0</v>
      </c>
    </row>
    <row r="52" spans="1:16" s="33" customFormat="1">
      <c r="A52" s="96" t="s">
        <v>200</v>
      </c>
      <c r="B52" s="293" t="s">
        <v>143</v>
      </c>
      <c r="C52" s="399" t="s">
        <v>422</v>
      </c>
      <c r="D52" s="400" t="s">
        <v>127</v>
      </c>
      <c r="E52" s="199">
        <v>750</v>
      </c>
      <c r="F52" s="264"/>
      <c r="G52" s="263"/>
      <c r="H52" s="147"/>
      <c r="I52" s="147"/>
      <c r="J52" s="147"/>
      <c r="K52" s="262">
        <f t="shared" si="32"/>
        <v>0</v>
      </c>
      <c r="L52" s="262">
        <f t="shared" si="33"/>
        <v>0</v>
      </c>
      <c r="M52" s="262">
        <f t="shared" si="34"/>
        <v>0</v>
      </c>
      <c r="N52" s="262"/>
      <c r="O52" s="262">
        <f t="shared" si="35"/>
        <v>0</v>
      </c>
      <c r="P52" s="262">
        <f t="shared" si="36"/>
        <v>0</v>
      </c>
    </row>
    <row r="53" spans="1:16" s="33" customFormat="1">
      <c r="A53" s="96"/>
      <c r="B53" s="293"/>
      <c r="C53" s="399" t="s">
        <v>423</v>
      </c>
      <c r="D53" s="400" t="s">
        <v>127</v>
      </c>
      <c r="E53" s="199">
        <v>12</v>
      </c>
      <c r="F53" s="264"/>
      <c r="G53" s="263"/>
      <c r="H53" s="147"/>
      <c r="I53" s="147"/>
      <c r="J53" s="147"/>
      <c r="K53" s="262">
        <f t="shared" si="32"/>
        <v>0</v>
      </c>
      <c r="L53" s="262"/>
      <c r="M53" s="262"/>
      <c r="N53" s="262">
        <f t="shared" si="37"/>
        <v>0</v>
      </c>
      <c r="O53" s="262"/>
      <c r="P53" s="262">
        <f t="shared" si="36"/>
        <v>0</v>
      </c>
    </row>
    <row r="54" spans="1:16" s="33" customFormat="1">
      <c r="A54" s="96" t="s">
        <v>201</v>
      </c>
      <c r="B54" s="293" t="s">
        <v>67</v>
      </c>
      <c r="C54" s="295" t="s">
        <v>206</v>
      </c>
      <c r="D54" s="296" t="s">
        <v>131</v>
      </c>
      <c r="E54" s="201">
        <v>31.95</v>
      </c>
      <c r="F54" s="265"/>
      <c r="G54" s="266"/>
      <c r="H54" s="148">
        <f>SUM(F54*G54)</f>
        <v>0</v>
      </c>
      <c r="I54" s="148"/>
      <c r="J54" s="147"/>
      <c r="K54" s="262">
        <f t="shared" si="32"/>
        <v>0</v>
      </c>
      <c r="L54" s="262">
        <f t="shared" ref="L54" si="38">F54*E54</f>
        <v>0</v>
      </c>
      <c r="M54" s="262">
        <f t="shared" ref="M54" si="39">H54*E54</f>
        <v>0</v>
      </c>
      <c r="N54" s="262"/>
      <c r="O54" s="262">
        <f t="shared" ref="O54" si="40">J54*E54</f>
        <v>0</v>
      </c>
      <c r="P54" s="262">
        <f t="shared" si="36"/>
        <v>0</v>
      </c>
    </row>
    <row r="55" spans="1:16" s="33" customFormat="1">
      <c r="A55" s="96"/>
      <c r="B55" s="293"/>
      <c r="C55" s="301" t="s">
        <v>50</v>
      </c>
      <c r="D55" s="297" t="s">
        <v>35</v>
      </c>
      <c r="E55" s="147">
        <f>E54*0.18</f>
        <v>5.75</v>
      </c>
      <c r="F55" s="270"/>
      <c r="G55" s="228"/>
      <c r="H55" s="229"/>
      <c r="I55" s="229"/>
      <c r="J55" s="147"/>
      <c r="K55" s="262">
        <f t="shared" si="32"/>
        <v>0</v>
      </c>
      <c r="L55" s="262"/>
      <c r="M55" s="262"/>
      <c r="N55" s="262">
        <f t="shared" ref="N55:N56" si="41">I55*E55</f>
        <v>0</v>
      </c>
      <c r="O55" s="262"/>
      <c r="P55" s="262">
        <f t="shared" si="36"/>
        <v>0</v>
      </c>
    </row>
    <row r="56" spans="1:16" s="33" customFormat="1">
      <c r="A56" s="96"/>
      <c r="B56" s="293"/>
      <c r="C56" s="301" t="s">
        <v>51</v>
      </c>
      <c r="D56" s="297" t="s">
        <v>35</v>
      </c>
      <c r="E56" s="147">
        <f>E54*0.3</f>
        <v>9.59</v>
      </c>
      <c r="F56" s="270"/>
      <c r="G56" s="228"/>
      <c r="H56" s="229"/>
      <c r="I56" s="229"/>
      <c r="J56" s="147"/>
      <c r="K56" s="262">
        <f t="shared" si="32"/>
        <v>0</v>
      </c>
      <c r="L56" s="262"/>
      <c r="M56" s="262"/>
      <c r="N56" s="262">
        <f t="shared" si="41"/>
        <v>0</v>
      </c>
      <c r="O56" s="262"/>
      <c r="P56" s="262">
        <f t="shared" si="36"/>
        <v>0</v>
      </c>
    </row>
    <row r="57" spans="1:16" s="33" customFormat="1">
      <c r="A57" s="96" t="s">
        <v>202</v>
      </c>
      <c r="B57" s="278" t="s">
        <v>143</v>
      </c>
      <c r="C57" s="279" t="s">
        <v>233</v>
      </c>
      <c r="D57" s="280" t="s">
        <v>131</v>
      </c>
      <c r="E57" s="194">
        <v>31.95</v>
      </c>
      <c r="F57" s="268"/>
      <c r="G57" s="267"/>
      <c r="H57" s="151">
        <f t="shared" ref="H57" si="42">ROUND(G57*F57,2)</f>
        <v>0</v>
      </c>
      <c r="I57" s="151"/>
      <c r="J57" s="267"/>
      <c r="K57" s="267">
        <f t="shared" si="32"/>
        <v>0</v>
      </c>
      <c r="L57" s="267">
        <f t="shared" ref="L57" si="43">ROUND(F57*E57,2)</f>
        <v>0</v>
      </c>
      <c r="M57" s="267">
        <f t="shared" ref="M57" si="44">ROUND(H57*E57,2)</f>
        <v>0</v>
      </c>
      <c r="N57" s="267"/>
      <c r="O57" s="267">
        <f t="shared" ref="O57" si="45">ROUND(J57*E57,2)</f>
        <v>0</v>
      </c>
      <c r="P57" s="267">
        <f t="shared" si="36"/>
        <v>0</v>
      </c>
    </row>
    <row r="58" spans="1:16" s="33" customFormat="1">
      <c r="A58" s="96"/>
      <c r="B58" s="278"/>
      <c r="C58" s="309" t="s">
        <v>234</v>
      </c>
      <c r="D58" s="280" t="s">
        <v>131</v>
      </c>
      <c r="E58" s="194">
        <f>SUM(E57)*1.15</f>
        <v>36.74</v>
      </c>
      <c r="F58" s="268"/>
      <c r="G58" s="267"/>
      <c r="H58" s="151"/>
      <c r="I58" s="151"/>
      <c r="J58" s="267"/>
      <c r="K58" s="267">
        <f t="shared" si="32"/>
        <v>0</v>
      </c>
      <c r="L58" s="267"/>
      <c r="M58" s="267"/>
      <c r="N58" s="267">
        <f t="shared" ref="N58:N61" si="46">ROUND(I58*E58,2)</f>
        <v>0</v>
      </c>
      <c r="O58" s="267"/>
      <c r="P58" s="267">
        <f t="shared" si="36"/>
        <v>0</v>
      </c>
    </row>
    <row r="59" spans="1:16" s="33" customFormat="1">
      <c r="A59" s="96"/>
      <c r="B59" s="278"/>
      <c r="C59" s="309" t="s">
        <v>235</v>
      </c>
      <c r="D59" s="280" t="s">
        <v>131</v>
      </c>
      <c r="E59" s="194">
        <f>SUM(E57)*1.15</f>
        <v>36.74</v>
      </c>
      <c r="F59" s="268"/>
      <c r="G59" s="267"/>
      <c r="H59" s="151"/>
      <c r="I59" s="151"/>
      <c r="J59" s="267"/>
      <c r="K59" s="267">
        <f t="shared" si="32"/>
        <v>0</v>
      </c>
      <c r="L59" s="267"/>
      <c r="M59" s="267"/>
      <c r="N59" s="267">
        <f t="shared" si="46"/>
        <v>0</v>
      </c>
      <c r="O59" s="267"/>
      <c r="P59" s="267">
        <f t="shared" si="36"/>
        <v>0</v>
      </c>
    </row>
    <row r="60" spans="1:16" s="33" customFormat="1">
      <c r="A60" s="96"/>
      <c r="B60" s="278"/>
      <c r="C60" s="309" t="s">
        <v>236</v>
      </c>
      <c r="D60" s="280" t="s">
        <v>131</v>
      </c>
      <c r="E60" s="194">
        <f>SUM(E57)</f>
        <v>31.95</v>
      </c>
      <c r="F60" s="268"/>
      <c r="G60" s="267"/>
      <c r="H60" s="151"/>
      <c r="I60" s="151"/>
      <c r="J60" s="267"/>
      <c r="K60" s="267">
        <f t="shared" si="32"/>
        <v>0</v>
      </c>
      <c r="L60" s="267"/>
      <c r="M60" s="267"/>
      <c r="N60" s="267">
        <f t="shared" si="46"/>
        <v>0</v>
      </c>
      <c r="O60" s="267"/>
      <c r="P60" s="267">
        <f t="shared" si="36"/>
        <v>0</v>
      </c>
    </row>
    <row r="61" spans="1:16" s="33" customFormat="1">
      <c r="A61" s="96"/>
      <c r="B61" s="278"/>
      <c r="C61" s="309" t="s">
        <v>78</v>
      </c>
      <c r="D61" s="280" t="s">
        <v>131</v>
      </c>
      <c r="E61" s="194">
        <f>SUM(E57)</f>
        <v>31.95</v>
      </c>
      <c r="F61" s="268"/>
      <c r="G61" s="267"/>
      <c r="H61" s="151"/>
      <c r="I61" s="151"/>
      <c r="J61" s="267"/>
      <c r="K61" s="267">
        <f t="shared" si="32"/>
        <v>0</v>
      </c>
      <c r="L61" s="267"/>
      <c r="M61" s="267"/>
      <c r="N61" s="267">
        <f t="shared" si="46"/>
        <v>0</v>
      </c>
      <c r="O61" s="267"/>
      <c r="P61" s="267">
        <f t="shared" si="36"/>
        <v>0</v>
      </c>
    </row>
    <row r="62" spans="1:16" s="33" customFormat="1">
      <c r="A62" s="96" t="s">
        <v>203</v>
      </c>
      <c r="B62" s="293" t="s">
        <v>143</v>
      </c>
      <c r="C62" s="298" t="s">
        <v>140</v>
      </c>
      <c r="D62" s="294" t="s">
        <v>139</v>
      </c>
      <c r="E62" s="199">
        <v>21.3</v>
      </c>
      <c r="F62" s="263"/>
      <c r="G62" s="263"/>
      <c r="H62" s="147">
        <f>SUM(F62*G62)</f>
        <v>0</v>
      </c>
      <c r="I62" s="147"/>
      <c r="J62" s="147"/>
      <c r="K62" s="262">
        <f t="shared" ref="K62:K68" si="47">J62+I62+H62</f>
        <v>0</v>
      </c>
      <c r="L62" s="262">
        <f t="shared" ref="L62" si="48">F62*E62</f>
        <v>0</v>
      </c>
      <c r="M62" s="262">
        <f t="shared" ref="M62" si="49">H62*E62</f>
        <v>0</v>
      </c>
      <c r="N62" s="262">
        <f t="shared" ref="N62" si="50">I62*E62</f>
        <v>0</v>
      </c>
      <c r="O62" s="262">
        <f t="shared" ref="O62" si="51">J62*E62</f>
        <v>0</v>
      </c>
      <c r="P62" s="262">
        <f t="shared" ref="P62:P68" si="52">O62+N62+M62</f>
        <v>0</v>
      </c>
    </row>
    <row r="63" spans="1:16" s="33" customFormat="1">
      <c r="A63" s="96" t="s">
        <v>204</v>
      </c>
      <c r="B63" s="275" t="s">
        <v>143</v>
      </c>
      <c r="C63" s="299" t="s">
        <v>170</v>
      </c>
      <c r="D63" s="286" t="s">
        <v>37</v>
      </c>
      <c r="E63" s="255">
        <v>39.299999999999997</v>
      </c>
      <c r="F63" s="253"/>
      <c r="G63" s="254"/>
      <c r="H63" s="255">
        <f>G63*F63</f>
        <v>0</v>
      </c>
      <c r="I63" s="256"/>
      <c r="J63" s="151"/>
      <c r="K63" s="255">
        <f t="shared" si="47"/>
        <v>0</v>
      </c>
      <c r="L63" s="255">
        <f>F63*E63</f>
        <v>0</v>
      </c>
      <c r="M63" s="255">
        <f>H63*E63</f>
        <v>0</v>
      </c>
      <c r="N63" s="255"/>
      <c r="O63" s="255">
        <f>J63*E63</f>
        <v>0</v>
      </c>
      <c r="P63" s="255">
        <f t="shared" si="52"/>
        <v>0</v>
      </c>
    </row>
    <row r="64" spans="1:16" s="33" customFormat="1">
      <c r="A64" s="96"/>
      <c r="B64" s="275"/>
      <c r="C64" s="285" t="s">
        <v>274</v>
      </c>
      <c r="D64" s="286" t="s">
        <v>134</v>
      </c>
      <c r="E64" s="255">
        <v>43</v>
      </c>
      <c r="F64" s="253"/>
      <c r="G64" s="254"/>
      <c r="H64" s="255"/>
      <c r="I64" s="256"/>
      <c r="J64" s="151"/>
      <c r="K64" s="255">
        <f t="shared" si="47"/>
        <v>0</v>
      </c>
      <c r="L64" s="255"/>
      <c r="M64" s="255"/>
      <c r="N64" s="255">
        <f t="shared" ref="N64:N65" si="53">I64*E64</f>
        <v>0</v>
      </c>
      <c r="O64" s="255"/>
      <c r="P64" s="255">
        <f t="shared" si="52"/>
        <v>0</v>
      </c>
    </row>
    <row r="65" spans="1:16" s="33" customFormat="1" ht="14.25" customHeight="1">
      <c r="A65" s="96"/>
      <c r="B65" s="275"/>
      <c r="C65" s="285" t="s">
        <v>78</v>
      </c>
      <c r="D65" s="286" t="s">
        <v>129</v>
      </c>
      <c r="E65" s="255">
        <v>1</v>
      </c>
      <c r="F65" s="253"/>
      <c r="G65" s="254"/>
      <c r="H65" s="255"/>
      <c r="I65" s="256"/>
      <c r="J65" s="151"/>
      <c r="K65" s="255">
        <f t="shared" si="47"/>
        <v>0</v>
      </c>
      <c r="L65" s="255"/>
      <c r="M65" s="255"/>
      <c r="N65" s="255">
        <f t="shared" si="53"/>
        <v>0</v>
      </c>
      <c r="O65" s="255"/>
      <c r="P65" s="255">
        <f t="shared" si="52"/>
        <v>0</v>
      </c>
    </row>
    <row r="66" spans="1:16" s="33" customFormat="1">
      <c r="A66" s="150" t="s">
        <v>173</v>
      </c>
      <c r="B66" s="275" t="s">
        <v>143</v>
      </c>
      <c r="C66" s="285" t="s">
        <v>275</v>
      </c>
      <c r="D66" s="286" t="s">
        <v>37</v>
      </c>
      <c r="E66" s="255">
        <v>21.3</v>
      </c>
      <c r="F66" s="253"/>
      <c r="G66" s="254"/>
      <c r="H66" s="255">
        <f>G66*F66</f>
        <v>0</v>
      </c>
      <c r="I66" s="256"/>
      <c r="J66" s="151"/>
      <c r="K66" s="255">
        <f t="shared" si="47"/>
        <v>0</v>
      </c>
      <c r="L66" s="255">
        <f>F66*E66</f>
        <v>0</v>
      </c>
      <c r="M66" s="255">
        <f>H66*E66</f>
        <v>0</v>
      </c>
      <c r="N66" s="255"/>
      <c r="O66" s="255">
        <f>J66*E66</f>
        <v>0</v>
      </c>
      <c r="P66" s="255">
        <f t="shared" si="52"/>
        <v>0</v>
      </c>
    </row>
    <row r="67" spans="1:16" s="33" customFormat="1">
      <c r="A67" s="150"/>
      <c r="B67" s="275"/>
      <c r="C67" s="285" t="s">
        <v>276</v>
      </c>
      <c r="D67" s="286" t="s">
        <v>134</v>
      </c>
      <c r="E67" s="255">
        <v>23</v>
      </c>
      <c r="F67" s="253"/>
      <c r="G67" s="254"/>
      <c r="H67" s="255"/>
      <c r="I67" s="256"/>
      <c r="J67" s="151"/>
      <c r="K67" s="255">
        <f t="shared" si="47"/>
        <v>0</v>
      </c>
      <c r="L67" s="255"/>
      <c r="M67" s="255"/>
      <c r="N67" s="255">
        <f t="shared" ref="N67:N68" si="54">I67*E67</f>
        <v>0</v>
      </c>
      <c r="O67" s="255"/>
      <c r="P67" s="255">
        <f t="shared" si="52"/>
        <v>0</v>
      </c>
    </row>
    <row r="68" spans="1:16" s="33" customFormat="1" ht="12.75" customHeight="1" thickBot="1">
      <c r="A68" s="150"/>
      <c r="B68" s="275"/>
      <c r="C68" s="285" t="s">
        <v>277</v>
      </c>
      <c r="D68" s="286" t="s">
        <v>129</v>
      </c>
      <c r="E68" s="252">
        <v>1</v>
      </c>
      <c r="F68" s="253"/>
      <c r="G68" s="254"/>
      <c r="H68" s="255"/>
      <c r="I68" s="256"/>
      <c r="J68" s="151"/>
      <c r="K68" s="255">
        <f t="shared" si="47"/>
        <v>0</v>
      </c>
      <c r="L68" s="255"/>
      <c r="M68" s="255"/>
      <c r="N68" s="255">
        <f t="shared" si="54"/>
        <v>0</v>
      </c>
      <c r="O68" s="255"/>
      <c r="P68" s="255">
        <f t="shared" si="52"/>
        <v>0</v>
      </c>
    </row>
    <row r="69" spans="1:16" s="66" customFormat="1" ht="13.5" thickBot="1">
      <c r="A69" s="61"/>
      <c r="B69" s="4"/>
      <c r="C69" s="62" t="s">
        <v>25</v>
      </c>
      <c r="D69" s="63"/>
      <c r="E69" s="64"/>
      <c r="F69" s="65"/>
      <c r="G69" s="65"/>
      <c r="H69" s="65"/>
      <c r="I69" s="65"/>
      <c r="J69" s="65"/>
      <c r="K69" s="65"/>
      <c r="L69" s="230">
        <f>SUM(L15:L68)</f>
        <v>0</v>
      </c>
      <c r="M69" s="230">
        <f>SUM(M15:M68)</f>
        <v>0</v>
      </c>
      <c r="N69" s="230">
        <f>SUM(N15:N68)</f>
        <v>0</v>
      </c>
      <c r="O69" s="230">
        <f>SUM(O15:O68)</f>
        <v>0</v>
      </c>
      <c r="P69" s="230">
        <f>SUM(P15:P68)</f>
        <v>0</v>
      </c>
    </row>
    <row r="70" spans="1:16">
      <c r="H70" s="187"/>
      <c r="I70" s="187"/>
      <c r="J70" s="68"/>
      <c r="K70" s="68" t="s">
        <v>26</v>
      </c>
      <c r="L70" s="69" t="s">
        <v>385</v>
      </c>
      <c r="M70" s="203"/>
      <c r="N70" s="203" t="e">
        <f>ROUND(N69*L70,2)</f>
        <v>#VALUE!</v>
      </c>
      <c r="O70" s="203"/>
      <c r="P70" s="231" t="e">
        <f>N70</f>
        <v>#VALUE!</v>
      </c>
    </row>
    <row r="71" spans="1:16">
      <c r="A71" s="70"/>
      <c r="B71" s="70"/>
      <c r="C71" s="70"/>
      <c r="J71" s="71"/>
      <c r="K71" s="71"/>
      <c r="L71" s="71" t="s">
        <v>79</v>
      </c>
      <c r="M71" s="232">
        <f>M70+M69</f>
        <v>0</v>
      </c>
      <c r="N71" s="232" t="e">
        <f>N70+N69</f>
        <v>#VALUE!</v>
      </c>
      <c r="O71" s="232">
        <f>O70+O69</f>
        <v>0</v>
      </c>
      <c r="P71" s="233" t="e">
        <f>P70+P69</f>
        <v>#VALUE!</v>
      </c>
    </row>
    <row r="72" spans="1:16">
      <c r="N72" s="44"/>
      <c r="O72" s="44"/>
      <c r="P72" s="92"/>
    </row>
    <row r="73" spans="1:16" s="23" customFormat="1">
      <c r="A73" s="72"/>
      <c r="B73" s="73"/>
      <c r="C73" s="72"/>
      <c r="D73" s="72"/>
      <c r="E73" s="74"/>
      <c r="F73" s="75"/>
      <c r="G73" s="75"/>
      <c r="H73" s="75"/>
      <c r="P73" s="80"/>
    </row>
    <row r="74" spans="1:16" s="23" customFormat="1">
      <c r="A74" s="76"/>
      <c r="B74" s="77"/>
      <c r="C74" s="78"/>
      <c r="P74" s="94"/>
    </row>
    <row r="75" spans="1:16" s="23" customFormat="1">
      <c r="B75" s="78" t="s">
        <v>27</v>
      </c>
      <c r="C75" s="79"/>
      <c r="D75" s="55">
        <f>(Kopsavilkums!E34)</f>
        <v>0</v>
      </c>
      <c r="E75" s="80"/>
      <c r="J75" s="23" t="s">
        <v>28</v>
      </c>
      <c r="K75" s="81"/>
      <c r="L75" s="81"/>
      <c r="M75" s="81"/>
      <c r="N75" s="55">
        <f>(Kopsavilkums!E39)</f>
        <v>0</v>
      </c>
      <c r="P75" s="80"/>
    </row>
    <row r="76" spans="1:16" s="23" customFormat="1">
      <c r="C76" s="75" t="s">
        <v>29</v>
      </c>
      <c r="D76" s="82"/>
      <c r="L76" s="78" t="s">
        <v>29</v>
      </c>
      <c r="N76" s="55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31496062992125984" top="0.94488188976377963" bottom="0.74803149606299213" header="0.31496062992125984" footer="0.31496062992125984"/>
  <pageSetup paperSize="9" scale="80" orientation="landscape" r:id="rId1"/>
  <ignoredErrors>
    <ignoredError sqref="A14:B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8"/>
  <sheetViews>
    <sheetView workbookViewId="0">
      <selection activeCell="K36" sqref="K36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7.42578125" style="37" customWidth="1"/>
    <col min="6" max="6" width="5.42578125" style="36" customWidth="1"/>
    <col min="7" max="7" width="8" style="36" customWidth="1"/>
    <col min="8" max="8" width="7.85546875" style="36" customWidth="1"/>
    <col min="9" max="9" width="7.28515625" style="36" customWidth="1"/>
    <col min="10" max="10" width="8.285156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16">
      <c r="A1" s="481" t="s">
        <v>334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16">
      <c r="A2" s="482" t="s">
        <v>81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H7" s="196"/>
      <c r="I7" s="187"/>
      <c r="J7" s="187"/>
      <c r="K7" s="187"/>
      <c r="L7" s="187"/>
      <c r="M7" s="187"/>
      <c r="N7" s="187"/>
      <c r="O7" s="187"/>
      <c r="P7" s="187"/>
    </row>
    <row r="8" spans="1:16">
      <c r="A8" s="34"/>
      <c r="B8" s="34"/>
      <c r="F8" s="38"/>
      <c r="K8" s="187"/>
      <c r="L8" s="188" t="s">
        <v>76</v>
      </c>
      <c r="M8" s="187"/>
      <c r="N8" s="483" t="e">
        <f>P93</f>
        <v>#VALUE!</v>
      </c>
      <c r="O8" s="483"/>
      <c r="P8" s="187"/>
    </row>
    <row r="9" spans="1:16">
      <c r="A9" s="34"/>
      <c r="B9" s="34"/>
      <c r="F9" s="38"/>
      <c r="L9" s="40" t="str">
        <f>Kopsavilkums!E10</f>
        <v>Tāme sastādīta: 2017. gada .........</v>
      </c>
      <c r="M9" s="41"/>
      <c r="N9" s="189"/>
      <c r="O9" s="41"/>
      <c r="P9" s="41"/>
    </row>
    <row r="10" spans="1:16">
      <c r="A10" s="42"/>
      <c r="B10" s="42"/>
      <c r="C10" s="43"/>
      <c r="L10" s="187"/>
      <c r="M10" s="187"/>
      <c r="N10" s="187"/>
      <c r="O10" s="187"/>
    </row>
    <row r="11" spans="1:16" s="33" customFormat="1" ht="13.5" thickBot="1">
      <c r="A11" s="488" t="s">
        <v>17</v>
      </c>
      <c r="B11" s="491" t="s">
        <v>11</v>
      </c>
      <c r="C11" s="470" t="s">
        <v>12</v>
      </c>
      <c r="D11" s="473" t="s">
        <v>18</v>
      </c>
      <c r="E11" s="476" t="s">
        <v>19</v>
      </c>
      <c r="F11" s="479" t="s">
        <v>13</v>
      </c>
      <c r="G11" s="479"/>
      <c r="H11" s="479"/>
      <c r="I11" s="479"/>
      <c r="J11" s="479"/>
      <c r="K11" s="479"/>
      <c r="L11" s="484" t="s">
        <v>14</v>
      </c>
      <c r="M11" s="484"/>
      <c r="N11" s="484"/>
      <c r="O11" s="484"/>
      <c r="P11" s="485"/>
    </row>
    <row r="12" spans="1:16" s="33" customFormat="1" ht="13.5" thickBot="1">
      <c r="A12" s="489"/>
      <c r="B12" s="492"/>
      <c r="C12" s="471"/>
      <c r="D12" s="474"/>
      <c r="E12" s="477"/>
      <c r="F12" s="480"/>
      <c r="G12" s="480"/>
      <c r="H12" s="480"/>
      <c r="I12" s="480"/>
      <c r="J12" s="480"/>
      <c r="K12" s="480"/>
      <c r="L12" s="486" t="s">
        <v>20</v>
      </c>
      <c r="M12" s="486"/>
      <c r="N12" s="486" t="s">
        <v>21</v>
      </c>
      <c r="O12" s="486"/>
      <c r="P12" s="487" t="s">
        <v>22</v>
      </c>
    </row>
    <row r="13" spans="1:16" s="33" customFormat="1" ht="45">
      <c r="A13" s="490"/>
      <c r="B13" s="493"/>
      <c r="C13" s="472"/>
      <c r="D13" s="475"/>
      <c r="E13" s="478"/>
      <c r="F13" s="97" t="s">
        <v>23</v>
      </c>
      <c r="G13" s="97" t="s">
        <v>70</v>
      </c>
      <c r="H13" s="97" t="s">
        <v>71</v>
      </c>
      <c r="I13" s="97" t="s">
        <v>72</v>
      </c>
      <c r="J13" s="98" t="s">
        <v>73</v>
      </c>
      <c r="K13" s="98" t="s">
        <v>74</v>
      </c>
      <c r="L13" s="99" t="s">
        <v>24</v>
      </c>
      <c r="M13" s="97" t="s">
        <v>71</v>
      </c>
      <c r="N13" s="97" t="s">
        <v>72</v>
      </c>
      <c r="O13" s="98" t="s">
        <v>73</v>
      </c>
      <c r="P13" s="100" t="s">
        <v>75</v>
      </c>
    </row>
    <row r="14" spans="1:16" s="33" customFormat="1">
      <c r="A14" s="46">
        <v>1</v>
      </c>
      <c r="B14" s="96" t="s">
        <v>69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>
      <c r="A15" s="87"/>
      <c r="B15" s="302"/>
      <c r="C15" s="303" t="s">
        <v>118</v>
      </c>
      <c r="D15" s="304"/>
      <c r="E15" s="93"/>
      <c r="F15" s="91"/>
      <c r="G15" s="91"/>
      <c r="H15" s="91"/>
      <c r="I15" s="91"/>
      <c r="J15" s="91"/>
      <c r="K15" s="60"/>
      <c r="L15" s="59"/>
      <c r="M15" s="60"/>
      <c r="N15" s="60"/>
      <c r="O15" s="60"/>
      <c r="P15" s="60"/>
    </row>
    <row r="16" spans="1:16" s="33" customFormat="1" ht="38.25">
      <c r="A16" s="46">
        <v>1</v>
      </c>
      <c r="B16" s="305" t="s">
        <v>54</v>
      </c>
      <c r="C16" s="102" t="s">
        <v>83</v>
      </c>
      <c r="D16" s="306" t="s">
        <v>33</v>
      </c>
      <c r="E16" s="49">
        <v>1</v>
      </c>
      <c r="F16" s="229"/>
      <c r="G16" s="246"/>
      <c r="H16" s="229">
        <f>ROUND(G16*F16,2)</f>
        <v>0</v>
      </c>
      <c r="I16" s="229"/>
      <c r="J16" s="229"/>
      <c r="K16" s="229">
        <f>H16+I16+J16</f>
        <v>0</v>
      </c>
      <c r="L16" s="229">
        <f>ROUND(E16*F16,2)</f>
        <v>0</v>
      </c>
      <c r="M16" s="229">
        <f>ROUND(E16*H16,2)</f>
        <v>0</v>
      </c>
      <c r="N16" s="229">
        <f>ROUND(E16*I16,2)</f>
        <v>0</v>
      </c>
      <c r="O16" s="229">
        <f>ROUND(E16*J16,2)</f>
        <v>0</v>
      </c>
      <c r="P16" s="229">
        <f t="shared" ref="P16:P86" si="1">O16+N16+M16</f>
        <v>0</v>
      </c>
    </row>
    <row r="17" spans="1:16" s="33" customFormat="1">
      <c r="A17" s="332">
        <v>2</v>
      </c>
      <c r="B17" s="344" t="s">
        <v>54</v>
      </c>
      <c r="C17" s="322" t="s">
        <v>82</v>
      </c>
      <c r="D17" s="345" t="s">
        <v>37</v>
      </c>
      <c r="E17" s="333">
        <v>560</v>
      </c>
      <c r="F17" s="319"/>
      <c r="G17" s="319"/>
      <c r="H17" s="319">
        <f>ROUND(G17*F17,2)</f>
        <v>0</v>
      </c>
      <c r="I17" s="319"/>
      <c r="J17" s="319"/>
      <c r="K17" s="319">
        <f>H17+I17+J17</f>
        <v>0</v>
      </c>
      <c r="L17" s="319">
        <f>ROUND(E17*F17,2)</f>
        <v>0</v>
      </c>
      <c r="M17" s="319">
        <f>ROUND(E17*H17,2)</f>
        <v>0</v>
      </c>
      <c r="N17" s="319"/>
      <c r="O17" s="319">
        <f>ROUND(E17*J17,2)</f>
        <v>0</v>
      </c>
      <c r="P17" s="319">
        <f t="shared" si="1"/>
        <v>0</v>
      </c>
    </row>
    <row r="18" spans="1:16" s="23" customFormat="1" ht="15.75">
      <c r="A18" s="327">
        <f>A17+1</f>
        <v>3</v>
      </c>
      <c r="B18" s="346" t="s">
        <v>39</v>
      </c>
      <c r="C18" s="347" t="s">
        <v>62</v>
      </c>
      <c r="D18" s="344" t="s">
        <v>42</v>
      </c>
      <c r="E18" s="324">
        <v>3468.66</v>
      </c>
      <c r="F18" s="324"/>
      <c r="G18" s="319"/>
      <c r="H18" s="324">
        <f>ROUND(G18*F18,2)</f>
        <v>0</v>
      </c>
      <c r="I18" s="324"/>
      <c r="J18" s="324"/>
      <c r="K18" s="324">
        <f t="shared" ref="K18:K65" si="2">J18+I18+H18</f>
        <v>0</v>
      </c>
      <c r="L18" s="324">
        <f t="shared" ref="L18:L62" si="3">ROUND(F18*E18,2)</f>
        <v>0</v>
      </c>
      <c r="M18" s="324">
        <f t="shared" ref="M18:M62" si="4">ROUND(H18*E18,2)</f>
        <v>0</v>
      </c>
      <c r="N18" s="324"/>
      <c r="O18" s="324">
        <f t="shared" ref="O18:O62" si="5">ROUND(J18*E18,2)</f>
        <v>0</v>
      </c>
      <c r="P18" s="324">
        <f t="shared" si="1"/>
        <v>0</v>
      </c>
    </row>
    <row r="19" spans="1:16" s="23" customFormat="1" ht="15.75">
      <c r="A19" s="329"/>
      <c r="B19" s="344"/>
      <c r="C19" s="347" t="s">
        <v>63</v>
      </c>
      <c r="D19" s="344" t="s">
        <v>43</v>
      </c>
      <c r="E19" s="324">
        <f>E18</f>
        <v>3468.66</v>
      </c>
      <c r="F19" s="324"/>
      <c r="G19" s="324"/>
      <c r="H19" s="324"/>
      <c r="I19" s="324"/>
      <c r="J19" s="324"/>
      <c r="K19" s="324">
        <f t="shared" si="2"/>
        <v>0</v>
      </c>
      <c r="L19" s="324"/>
      <c r="M19" s="324"/>
      <c r="N19" s="324"/>
      <c r="O19" s="324">
        <f t="shared" si="5"/>
        <v>0</v>
      </c>
      <c r="P19" s="324">
        <f t="shared" si="1"/>
        <v>0</v>
      </c>
    </row>
    <row r="20" spans="1:16" s="23" customFormat="1" ht="15.75">
      <c r="A20" s="329"/>
      <c r="B20" s="344"/>
      <c r="C20" s="347" t="s">
        <v>64</v>
      </c>
      <c r="D20" s="344" t="s">
        <v>43</v>
      </c>
      <c r="E20" s="324">
        <f>E18*1.15</f>
        <v>3988.96</v>
      </c>
      <c r="F20" s="324"/>
      <c r="G20" s="324"/>
      <c r="H20" s="324"/>
      <c r="I20" s="324"/>
      <c r="J20" s="324"/>
      <c r="K20" s="324">
        <f t="shared" si="2"/>
        <v>0</v>
      </c>
      <c r="L20" s="324"/>
      <c r="M20" s="324"/>
      <c r="N20" s="324">
        <f t="shared" ref="N20:N64" si="6">ROUND(I20*E20,2)</f>
        <v>0</v>
      </c>
      <c r="O20" s="324"/>
      <c r="P20" s="324">
        <f t="shared" si="1"/>
        <v>0</v>
      </c>
    </row>
    <row r="21" spans="1:16" s="23" customFormat="1" ht="25.5">
      <c r="A21" s="332">
        <v>4</v>
      </c>
      <c r="B21" s="344" t="s">
        <v>54</v>
      </c>
      <c r="C21" s="322" t="s">
        <v>332</v>
      </c>
      <c r="D21" s="345" t="s">
        <v>37</v>
      </c>
      <c r="E21" s="333">
        <v>1760.12</v>
      </c>
      <c r="F21" s="319"/>
      <c r="G21" s="319"/>
      <c r="H21" s="319">
        <f>ROUND(G21*F21,2)</f>
        <v>0</v>
      </c>
      <c r="I21" s="319"/>
      <c r="J21" s="319"/>
      <c r="K21" s="319">
        <f>H21+I21+J21</f>
        <v>0</v>
      </c>
      <c r="L21" s="319">
        <f>ROUND(E21*F21,2)</f>
        <v>0</v>
      </c>
      <c r="M21" s="319">
        <f>ROUND(E21*H21,2)</f>
        <v>0</v>
      </c>
      <c r="N21" s="324"/>
      <c r="O21" s="319">
        <f>ROUND(E21*J21,2)</f>
        <v>0</v>
      </c>
      <c r="P21" s="319">
        <f t="shared" ref="P21:P24" si="7">O21+N21+M21</f>
        <v>0</v>
      </c>
    </row>
    <row r="22" spans="1:16" s="23" customFormat="1">
      <c r="A22" s="329">
        <v>5</v>
      </c>
      <c r="B22" s="346" t="s">
        <v>67</v>
      </c>
      <c r="C22" s="348" t="s">
        <v>330</v>
      </c>
      <c r="D22" s="349" t="s">
        <v>37</v>
      </c>
      <c r="E22" s="342">
        <v>1760.12</v>
      </c>
      <c r="F22" s="324"/>
      <c r="G22" s="319"/>
      <c r="H22" s="324">
        <f>ROUND(G22*F22,2)</f>
        <v>0</v>
      </c>
      <c r="I22" s="342"/>
      <c r="J22" s="319"/>
      <c r="K22" s="319">
        <f t="shared" ref="K22:K24" si="8">J22+I22+H22</f>
        <v>0</v>
      </c>
      <c r="L22" s="319">
        <f t="shared" ref="L22" si="9">ROUND(F22*E22,2)</f>
        <v>0</v>
      </c>
      <c r="M22" s="319">
        <f t="shared" ref="M22" si="10">ROUND(H22*E22,2)</f>
        <v>0</v>
      </c>
      <c r="N22" s="319"/>
      <c r="O22" s="319">
        <f t="shared" ref="O22" si="11">ROUND(J22*E22,2)</f>
        <v>0</v>
      </c>
      <c r="P22" s="319">
        <f t="shared" si="7"/>
        <v>0</v>
      </c>
    </row>
    <row r="23" spans="1:16" s="23" customFormat="1">
      <c r="A23" s="329"/>
      <c r="B23" s="346"/>
      <c r="C23" s="350" t="s">
        <v>331</v>
      </c>
      <c r="D23" s="349" t="s">
        <v>35</v>
      </c>
      <c r="E23" s="342">
        <v>20</v>
      </c>
      <c r="F23" s="324"/>
      <c r="G23" s="319"/>
      <c r="H23" s="319"/>
      <c r="I23" s="342"/>
      <c r="J23" s="319"/>
      <c r="K23" s="319">
        <f t="shared" si="8"/>
        <v>0</v>
      </c>
      <c r="L23" s="319"/>
      <c r="M23" s="319"/>
      <c r="N23" s="319">
        <f t="shared" ref="N23:N24" si="12">ROUND(I23*E23,2)</f>
        <v>0</v>
      </c>
      <c r="O23" s="319"/>
      <c r="P23" s="319">
        <f t="shared" si="7"/>
        <v>0</v>
      </c>
    </row>
    <row r="24" spans="1:16" s="23" customFormat="1">
      <c r="A24" s="329"/>
      <c r="B24" s="346"/>
      <c r="C24" s="350" t="s">
        <v>329</v>
      </c>
      <c r="D24" s="349" t="s">
        <v>135</v>
      </c>
      <c r="E24" s="351">
        <v>740</v>
      </c>
      <c r="F24" s="324"/>
      <c r="G24" s="319"/>
      <c r="H24" s="319"/>
      <c r="I24" s="342"/>
      <c r="J24" s="319"/>
      <c r="K24" s="319">
        <f t="shared" si="8"/>
        <v>0</v>
      </c>
      <c r="L24" s="319"/>
      <c r="M24" s="319"/>
      <c r="N24" s="319">
        <f t="shared" si="12"/>
        <v>0</v>
      </c>
      <c r="O24" s="319"/>
      <c r="P24" s="319">
        <f t="shared" si="7"/>
        <v>0</v>
      </c>
    </row>
    <row r="25" spans="1:16" s="23" customFormat="1">
      <c r="A25" s="332">
        <v>6</v>
      </c>
      <c r="B25" s="344" t="s">
        <v>54</v>
      </c>
      <c r="C25" s="322" t="s">
        <v>279</v>
      </c>
      <c r="D25" s="345" t="s">
        <v>131</v>
      </c>
      <c r="E25" s="333">
        <v>129.47</v>
      </c>
      <c r="F25" s="319"/>
      <c r="G25" s="319"/>
      <c r="H25" s="319">
        <f>ROUND(G25*F25,2)</f>
        <v>0</v>
      </c>
      <c r="I25" s="319"/>
      <c r="J25" s="319"/>
      <c r="K25" s="319">
        <f>H25+I25+J25</f>
        <v>0</v>
      </c>
      <c r="L25" s="319">
        <f>ROUND(E25*F25,2)</f>
        <v>0</v>
      </c>
      <c r="M25" s="319">
        <f>ROUND(E25*H25,2)</f>
        <v>0</v>
      </c>
      <c r="N25" s="324"/>
      <c r="O25" s="319">
        <f>ROUND(E25*J25,2)</f>
        <v>0</v>
      </c>
      <c r="P25" s="319">
        <f t="shared" ref="P25:P29" si="13">O25+N25+M25</f>
        <v>0</v>
      </c>
    </row>
    <row r="26" spans="1:16" s="23" customFormat="1" ht="15.75">
      <c r="A26" s="329">
        <v>7</v>
      </c>
      <c r="B26" s="346" t="s">
        <v>67</v>
      </c>
      <c r="C26" s="322" t="s">
        <v>280</v>
      </c>
      <c r="D26" s="345" t="s">
        <v>44</v>
      </c>
      <c r="E26" s="324">
        <v>129.47</v>
      </c>
      <c r="F26" s="324"/>
      <c r="G26" s="319"/>
      <c r="H26" s="324">
        <f>ROUND(G26*F26,2)</f>
        <v>0</v>
      </c>
      <c r="I26" s="319"/>
      <c r="J26" s="319"/>
      <c r="K26" s="319">
        <f t="shared" ref="K26:K29" si="14">J26+I26+H26</f>
        <v>0</v>
      </c>
      <c r="L26" s="319">
        <f t="shared" ref="L26:L27" si="15">ROUND(F26*E26,2)</f>
        <v>0</v>
      </c>
      <c r="M26" s="319">
        <f t="shared" ref="M26:M27" si="16">ROUND(H26*E26,2)</f>
        <v>0</v>
      </c>
      <c r="N26" s="324">
        <f t="shared" si="6"/>
        <v>0</v>
      </c>
      <c r="O26" s="319">
        <f t="shared" ref="O26:O27" si="17">ROUND(J26*E26,2)</f>
        <v>0</v>
      </c>
      <c r="P26" s="319">
        <f t="shared" si="13"/>
        <v>0</v>
      </c>
    </row>
    <row r="27" spans="1:16" s="23" customFormat="1">
      <c r="A27" s="329">
        <v>8</v>
      </c>
      <c r="B27" s="346" t="s">
        <v>67</v>
      </c>
      <c r="C27" s="348" t="s">
        <v>281</v>
      </c>
      <c r="D27" s="349" t="s">
        <v>131</v>
      </c>
      <c r="E27" s="342">
        <v>129.47</v>
      </c>
      <c r="F27" s="324"/>
      <c r="G27" s="319"/>
      <c r="H27" s="324">
        <f>ROUND(G27*F27,2)</f>
        <v>0</v>
      </c>
      <c r="I27" s="342"/>
      <c r="J27" s="319"/>
      <c r="K27" s="319">
        <f t="shared" si="14"/>
        <v>0</v>
      </c>
      <c r="L27" s="319">
        <f t="shared" si="15"/>
        <v>0</v>
      </c>
      <c r="M27" s="319">
        <f t="shared" si="16"/>
        <v>0</v>
      </c>
      <c r="N27" s="319"/>
      <c r="O27" s="319">
        <f t="shared" si="17"/>
        <v>0</v>
      </c>
      <c r="P27" s="319">
        <f t="shared" si="13"/>
        <v>0</v>
      </c>
    </row>
    <row r="28" spans="1:16" s="23" customFormat="1">
      <c r="A28" s="329"/>
      <c r="B28" s="346"/>
      <c r="C28" s="350" t="s">
        <v>282</v>
      </c>
      <c r="D28" s="349" t="s">
        <v>131</v>
      </c>
      <c r="E28" s="342">
        <f>SUM(E27)*1.1</f>
        <v>142.41999999999999</v>
      </c>
      <c r="F28" s="324"/>
      <c r="G28" s="319"/>
      <c r="H28" s="319"/>
      <c r="I28" s="342"/>
      <c r="J28" s="319"/>
      <c r="K28" s="319">
        <f t="shared" si="14"/>
        <v>0</v>
      </c>
      <c r="L28" s="319"/>
      <c r="M28" s="319"/>
      <c r="N28" s="319">
        <f t="shared" si="6"/>
        <v>0</v>
      </c>
      <c r="O28" s="319"/>
      <c r="P28" s="319">
        <f t="shared" si="13"/>
        <v>0</v>
      </c>
    </row>
    <row r="29" spans="1:16" s="23" customFormat="1">
      <c r="A29" s="329"/>
      <c r="B29" s="346"/>
      <c r="C29" s="350" t="s">
        <v>283</v>
      </c>
      <c r="D29" s="349" t="s">
        <v>135</v>
      </c>
      <c r="E29" s="351">
        <f>SUM(E27)*12</f>
        <v>1554</v>
      </c>
      <c r="F29" s="324"/>
      <c r="G29" s="319"/>
      <c r="H29" s="319"/>
      <c r="I29" s="342"/>
      <c r="J29" s="319"/>
      <c r="K29" s="319">
        <f t="shared" si="14"/>
        <v>0</v>
      </c>
      <c r="L29" s="319"/>
      <c r="M29" s="319"/>
      <c r="N29" s="319">
        <f t="shared" si="6"/>
        <v>0</v>
      </c>
      <c r="O29" s="319"/>
      <c r="P29" s="319">
        <f t="shared" si="13"/>
        <v>0</v>
      </c>
    </row>
    <row r="30" spans="1:16" s="133" customFormat="1" ht="15.75">
      <c r="A30" s="320">
        <v>9</v>
      </c>
      <c r="B30" s="346" t="s">
        <v>67</v>
      </c>
      <c r="C30" s="322" t="s">
        <v>207</v>
      </c>
      <c r="D30" s="345" t="s">
        <v>44</v>
      </c>
      <c r="E30" s="324">
        <v>2218.87</v>
      </c>
      <c r="F30" s="324"/>
      <c r="G30" s="319"/>
      <c r="H30" s="324">
        <f>ROUND(G30*F30,2)</f>
        <v>0</v>
      </c>
      <c r="I30" s="319"/>
      <c r="J30" s="319"/>
      <c r="K30" s="319">
        <f t="shared" si="2"/>
        <v>0</v>
      </c>
      <c r="L30" s="319">
        <f t="shared" si="3"/>
        <v>0</v>
      </c>
      <c r="M30" s="319">
        <f t="shared" si="4"/>
        <v>0</v>
      </c>
      <c r="N30" s="319"/>
      <c r="O30" s="319">
        <f t="shared" si="5"/>
        <v>0</v>
      </c>
      <c r="P30" s="319">
        <f t="shared" si="1"/>
        <v>0</v>
      </c>
    </row>
    <row r="31" spans="1:16" s="133" customFormat="1">
      <c r="A31" s="320"/>
      <c r="B31" s="346"/>
      <c r="C31" s="322" t="s">
        <v>208</v>
      </c>
      <c r="D31" s="345" t="s">
        <v>35</v>
      </c>
      <c r="E31" s="324">
        <f>E30*0.2</f>
        <v>443.77</v>
      </c>
      <c r="F31" s="324"/>
      <c r="G31" s="319"/>
      <c r="H31" s="324"/>
      <c r="I31" s="319"/>
      <c r="J31" s="319"/>
      <c r="K31" s="319">
        <f t="shared" si="2"/>
        <v>0</v>
      </c>
      <c r="L31" s="319"/>
      <c r="M31" s="319"/>
      <c r="N31" s="319">
        <f t="shared" si="6"/>
        <v>0</v>
      </c>
      <c r="O31" s="319"/>
      <c r="P31" s="319">
        <f t="shared" si="1"/>
        <v>0</v>
      </c>
    </row>
    <row r="32" spans="1:16" s="133" customFormat="1" ht="27.75" customHeight="1">
      <c r="A32" s="320">
        <v>10</v>
      </c>
      <c r="B32" s="346" t="s">
        <v>67</v>
      </c>
      <c r="C32" s="322" t="s">
        <v>284</v>
      </c>
      <c r="D32" s="345" t="s">
        <v>131</v>
      </c>
      <c r="E32" s="324">
        <v>2218.87</v>
      </c>
      <c r="F32" s="324"/>
      <c r="G32" s="319"/>
      <c r="H32" s="324">
        <f>ROUND(G32*F32,2)</f>
        <v>0</v>
      </c>
      <c r="I32" s="319"/>
      <c r="J32" s="319"/>
      <c r="K32" s="319">
        <f t="shared" si="2"/>
        <v>0</v>
      </c>
      <c r="L32" s="319">
        <f t="shared" ref="L32:L34" si="18">ROUND(F32*E32,2)</f>
        <v>0</v>
      </c>
      <c r="M32" s="319">
        <f t="shared" ref="M32:M34" si="19">ROUND(H32*E32,2)</f>
        <v>0</v>
      </c>
      <c r="N32" s="319"/>
      <c r="O32" s="319">
        <f t="shared" ref="O32:O34" si="20">ROUND(J32*E32,2)</f>
        <v>0</v>
      </c>
      <c r="P32" s="319">
        <f t="shared" ref="P32:P34" si="21">O32+N32+M32</f>
        <v>0</v>
      </c>
    </row>
    <row r="33" spans="1:16" s="133" customFormat="1">
      <c r="A33" s="320"/>
      <c r="B33" s="346"/>
      <c r="C33" s="322" t="s">
        <v>78</v>
      </c>
      <c r="D33" s="345" t="s">
        <v>15</v>
      </c>
      <c r="E33" s="324">
        <v>1</v>
      </c>
      <c r="F33" s="325"/>
      <c r="G33" s="319"/>
      <c r="H33" s="324"/>
      <c r="I33" s="319"/>
      <c r="J33" s="319"/>
      <c r="K33" s="319">
        <f t="shared" si="2"/>
        <v>0</v>
      </c>
      <c r="L33" s="319">
        <f t="shared" si="18"/>
        <v>0</v>
      </c>
      <c r="M33" s="319">
        <f t="shared" si="19"/>
        <v>0</v>
      </c>
      <c r="N33" s="319"/>
      <c r="O33" s="319">
        <f t="shared" si="20"/>
        <v>0</v>
      </c>
      <c r="P33" s="319">
        <f t="shared" si="21"/>
        <v>0</v>
      </c>
    </row>
    <row r="34" spans="1:16" s="133" customFormat="1">
      <c r="A34" s="320"/>
      <c r="B34" s="346"/>
      <c r="C34" s="322" t="s">
        <v>31</v>
      </c>
      <c r="D34" s="345" t="s">
        <v>35</v>
      </c>
      <c r="E34" s="324">
        <f>SUM(E32)*4</f>
        <v>8875.48</v>
      </c>
      <c r="F34" s="325"/>
      <c r="G34" s="319"/>
      <c r="H34" s="324"/>
      <c r="I34" s="319"/>
      <c r="J34" s="319"/>
      <c r="K34" s="319">
        <f t="shared" si="2"/>
        <v>0</v>
      </c>
      <c r="L34" s="319">
        <f t="shared" si="18"/>
        <v>0</v>
      </c>
      <c r="M34" s="319">
        <f t="shared" si="19"/>
        <v>0</v>
      </c>
      <c r="N34" s="319"/>
      <c r="O34" s="319">
        <f t="shared" si="20"/>
        <v>0</v>
      </c>
      <c r="P34" s="319">
        <f t="shared" si="21"/>
        <v>0</v>
      </c>
    </row>
    <row r="35" spans="1:16" s="133" customFormat="1" ht="15.75">
      <c r="A35" s="320">
        <v>11</v>
      </c>
      <c r="B35" s="346" t="s">
        <v>38</v>
      </c>
      <c r="C35" s="322" t="s">
        <v>209</v>
      </c>
      <c r="D35" s="345" t="s">
        <v>44</v>
      </c>
      <c r="E35" s="324">
        <v>2348.34</v>
      </c>
      <c r="F35" s="325"/>
      <c r="G35" s="319"/>
      <c r="H35" s="324">
        <f>ROUND(G35*F35,2)</f>
        <v>0</v>
      </c>
      <c r="I35" s="319"/>
      <c r="J35" s="319"/>
      <c r="K35" s="319">
        <f t="shared" si="2"/>
        <v>0</v>
      </c>
      <c r="L35" s="319">
        <f t="shared" si="3"/>
        <v>0</v>
      </c>
      <c r="M35" s="319">
        <f t="shared" si="4"/>
        <v>0</v>
      </c>
      <c r="N35" s="319"/>
      <c r="O35" s="319">
        <f t="shared" si="5"/>
        <v>0</v>
      </c>
      <c r="P35" s="319">
        <f t="shared" si="1"/>
        <v>0</v>
      </c>
    </row>
    <row r="36" spans="1:16" s="133" customFormat="1" ht="25.5">
      <c r="A36" s="323"/>
      <c r="B36" s="346"/>
      <c r="C36" s="352" t="s">
        <v>339</v>
      </c>
      <c r="D36" s="345" t="s">
        <v>44</v>
      </c>
      <c r="E36" s="324">
        <f>E35*1.05</f>
        <v>2465.7600000000002</v>
      </c>
      <c r="F36" s="325"/>
      <c r="G36" s="319"/>
      <c r="H36" s="319"/>
      <c r="I36" s="319"/>
      <c r="J36" s="319"/>
      <c r="K36" s="319">
        <f t="shared" si="2"/>
        <v>0</v>
      </c>
      <c r="L36" s="319"/>
      <c r="M36" s="319"/>
      <c r="N36" s="319">
        <f t="shared" si="6"/>
        <v>0</v>
      </c>
      <c r="O36" s="319"/>
      <c r="P36" s="319">
        <f t="shared" si="1"/>
        <v>0</v>
      </c>
    </row>
    <row r="37" spans="1:16" s="133" customFormat="1">
      <c r="A37" s="323"/>
      <c r="B37" s="346"/>
      <c r="C37" s="322" t="s">
        <v>31</v>
      </c>
      <c r="D37" s="345" t="s">
        <v>35</v>
      </c>
      <c r="E37" s="327">
        <f>E35*6</f>
        <v>14090</v>
      </c>
      <c r="F37" s="325"/>
      <c r="G37" s="319"/>
      <c r="H37" s="319"/>
      <c r="I37" s="319"/>
      <c r="J37" s="319"/>
      <c r="K37" s="319">
        <f t="shared" si="2"/>
        <v>0</v>
      </c>
      <c r="L37" s="319"/>
      <c r="M37" s="319"/>
      <c r="N37" s="319">
        <f t="shared" si="6"/>
        <v>0</v>
      </c>
      <c r="O37" s="319"/>
      <c r="P37" s="319">
        <f t="shared" si="1"/>
        <v>0</v>
      </c>
    </row>
    <row r="38" spans="1:16" s="133" customFormat="1">
      <c r="A38" s="323"/>
      <c r="B38" s="346"/>
      <c r="C38" s="322" t="s">
        <v>210</v>
      </c>
      <c r="D38" s="345" t="s">
        <v>211</v>
      </c>
      <c r="E38" s="327">
        <f>E35*5</f>
        <v>11742</v>
      </c>
      <c r="F38" s="325"/>
      <c r="G38" s="319"/>
      <c r="H38" s="319"/>
      <c r="I38" s="319"/>
      <c r="J38" s="319"/>
      <c r="K38" s="319">
        <f t="shared" si="2"/>
        <v>0</v>
      </c>
      <c r="L38" s="319"/>
      <c r="M38" s="319"/>
      <c r="N38" s="319">
        <f t="shared" si="6"/>
        <v>0</v>
      </c>
      <c r="O38" s="319"/>
      <c r="P38" s="319">
        <f t="shared" si="1"/>
        <v>0</v>
      </c>
    </row>
    <row r="39" spans="1:16" s="133" customFormat="1">
      <c r="A39" s="323"/>
      <c r="B39" s="346"/>
      <c r="C39" s="322" t="s">
        <v>212</v>
      </c>
      <c r="D39" s="345" t="s">
        <v>37</v>
      </c>
      <c r="E39" s="324">
        <v>215</v>
      </c>
      <c r="F39" s="325"/>
      <c r="G39" s="319"/>
      <c r="H39" s="319"/>
      <c r="I39" s="319"/>
      <c r="J39" s="319"/>
      <c r="K39" s="319">
        <f t="shared" si="2"/>
        <v>0</v>
      </c>
      <c r="L39" s="319"/>
      <c r="M39" s="319"/>
      <c r="N39" s="319">
        <f t="shared" si="6"/>
        <v>0</v>
      </c>
      <c r="O39" s="319"/>
      <c r="P39" s="319">
        <f t="shared" si="1"/>
        <v>0</v>
      </c>
    </row>
    <row r="40" spans="1:16" s="133" customFormat="1">
      <c r="A40" s="323"/>
      <c r="B40" s="346"/>
      <c r="C40" s="322" t="s">
        <v>278</v>
      </c>
      <c r="D40" s="345" t="s">
        <v>37</v>
      </c>
      <c r="E40" s="324">
        <v>240</v>
      </c>
      <c r="F40" s="325"/>
      <c r="G40" s="319"/>
      <c r="H40" s="319"/>
      <c r="I40" s="319"/>
      <c r="J40" s="319"/>
      <c r="K40" s="319">
        <f t="shared" ref="K40" si="22">J40+I40+H40</f>
        <v>0</v>
      </c>
      <c r="L40" s="319"/>
      <c r="M40" s="319"/>
      <c r="N40" s="319">
        <f t="shared" ref="N40" si="23">ROUND(I40*E40,2)</f>
        <v>0</v>
      </c>
      <c r="O40" s="319"/>
      <c r="P40" s="319">
        <f t="shared" ref="P40" si="24">O40+N40+M40</f>
        <v>0</v>
      </c>
    </row>
    <row r="41" spans="1:16" s="133" customFormat="1" ht="15.75">
      <c r="A41" s="320">
        <v>12</v>
      </c>
      <c r="B41" s="346" t="s">
        <v>67</v>
      </c>
      <c r="C41" s="322" t="s">
        <v>213</v>
      </c>
      <c r="D41" s="345" t="s">
        <v>44</v>
      </c>
      <c r="E41" s="324">
        <f>SUM(E35)</f>
        <v>2348.34</v>
      </c>
      <c r="F41" s="325"/>
      <c r="G41" s="319"/>
      <c r="H41" s="324">
        <f>ROUND(G41*F41,2)</f>
        <v>0</v>
      </c>
      <c r="I41" s="319"/>
      <c r="J41" s="319"/>
      <c r="K41" s="319">
        <f t="shared" si="2"/>
        <v>0</v>
      </c>
      <c r="L41" s="319">
        <f t="shared" si="3"/>
        <v>0</v>
      </c>
      <c r="M41" s="319">
        <f t="shared" si="4"/>
        <v>0</v>
      </c>
      <c r="N41" s="319"/>
      <c r="O41" s="319">
        <f t="shared" si="5"/>
        <v>0</v>
      </c>
      <c r="P41" s="319">
        <f t="shared" si="1"/>
        <v>0</v>
      </c>
    </row>
    <row r="42" spans="1:16" s="133" customFormat="1" ht="15.75">
      <c r="A42" s="323"/>
      <c r="B42" s="346"/>
      <c r="C42" s="322" t="s">
        <v>32</v>
      </c>
      <c r="D42" s="345" t="s">
        <v>44</v>
      </c>
      <c r="E42" s="331">
        <f>E41*1.15</f>
        <v>2700.6</v>
      </c>
      <c r="F42" s="325"/>
      <c r="G42" s="319"/>
      <c r="H42" s="319"/>
      <c r="I42" s="319"/>
      <c r="J42" s="319"/>
      <c r="K42" s="319">
        <f t="shared" si="2"/>
        <v>0</v>
      </c>
      <c r="L42" s="319"/>
      <c r="M42" s="319"/>
      <c r="N42" s="319">
        <f t="shared" si="6"/>
        <v>0</v>
      </c>
      <c r="O42" s="319"/>
      <c r="P42" s="319">
        <f t="shared" si="1"/>
        <v>0</v>
      </c>
    </row>
    <row r="43" spans="1:16" s="133" customFormat="1">
      <c r="A43" s="323"/>
      <c r="B43" s="346"/>
      <c r="C43" s="322" t="s">
        <v>31</v>
      </c>
      <c r="D43" s="345" t="s">
        <v>35</v>
      </c>
      <c r="E43" s="327">
        <f>E41*6</f>
        <v>14090</v>
      </c>
      <c r="F43" s="325"/>
      <c r="G43" s="319"/>
      <c r="H43" s="319"/>
      <c r="I43" s="319"/>
      <c r="J43" s="319"/>
      <c r="K43" s="319">
        <f t="shared" si="2"/>
        <v>0</v>
      </c>
      <c r="L43" s="319"/>
      <c r="M43" s="319"/>
      <c r="N43" s="319">
        <f t="shared" si="6"/>
        <v>0</v>
      </c>
      <c r="O43" s="319"/>
      <c r="P43" s="319">
        <f t="shared" si="1"/>
        <v>0</v>
      </c>
    </row>
    <row r="44" spans="1:16" s="133" customFormat="1">
      <c r="A44" s="323"/>
      <c r="B44" s="346"/>
      <c r="C44" s="322" t="s">
        <v>146</v>
      </c>
      <c r="D44" s="345" t="s">
        <v>37</v>
      </c>
      <c r="E44" s="324">
        <v>70</v>
      </c>
      <c r="F44" s="325"/>
      <c r="G44" s="319"/>
      <c r="H44" s="319"/>
      <c r="I44" s="319"/>
      <c r="J44" s="319"/>
      <c r="K44" s="319">
        <f t="shared" si="2"/>
        <v>0</v>
      </c>
      <c r="L44" s="319"/>
      <c r="M44" s="319"/>
      <c r="N44" s="319">
        <f t="shared" si="6"/>
        <v>0</v>
      </c>
      <c r="O44" s="319"/>
      <c r="P44" s="319">
        <f t="shared" si="1"/>
        <v>0</v>
      </c>
    </row>
    <row r="45" spans="1:16" s="133" customFormat="1" ht="15.75">
      <c r="A45" s="320">
        <v>13</v>
      </c>
      <c r="B45" s="346" t="s">
        <v>67</v>
      </c>
      <c r="C45" s="322" t="s">
        <v>166</v>
      </c>
      <c r="D45" s="345" t="s">
        <v>44</v>
      </c>
      <c r="E45" s="324">
        <f>E41</f>
        <v>2348.34</v>
      </c>
      <c r="F45" s="325"/>
      <c r="G45" s="319"/>
      <c r="H45" s="324">
        <f>ROUND(G45*F45,2)</f>
        <v>0</v>
      </c>
      <c r="I45" s="319"/>
      <c r="J45" s="319"/>
      <c r="K45" s="319">
        <f t="shared" si="2"/>
        <v>0</v>
      </c>
      <c r="L45" s="319">
        <f t="shared" si="3"/>
        <v>0</v>
      </c>
      <c r="M45" s="319">
        <f t="shared" si="4"/>
        <v>0</v>
      </c>
      <c r="N45" s="319"/>
      <c r="O45" s="319">
        <f t="shared" si="5"/>
        <v>0</v>
      </c>
      <c r="P45" s="319">
        <f t="shared" si="1"/>
        <v>0</v>
      </c>
    </row>
    <row r="46" spans="1:16" s="133" customFormat="1">
      <c r="A46" s="323"/>
      <c r="B46" s="346"/>
      <c r="C46" s="322" t="s">
        <v>65</v>
      </c>
      <c r="D46" s="345" t="s">
        <v>35</v>
      </c>
      <c r="E46" s="327">
        <v>362</v>
      </c>
      <c r="F46" s="325"/>
      <c r="G46" s="319"/>
      <c r="H46" s="319"/>
      <c r="I46" s="319"/>
      <c r="J46" s="319"/>
      <c r="K46" s="319">
        <f t="shared" si="2"/>
        <v>0</v>
      </c>
      <c r="L46" s="319"/>
      <c r="M46" s="319"/>
      <c r="N46" s="319">
        <f t="shared" si="6"/>
        <v>0</v>
      </c>
      <c r="O46" s="319"/>
      <c r="P46" s="319">
        <f t="shared" si="1"/>
        <v>0</v>
      </c>
    </row>
    <row r="47" spans="1:16" s="133" customFormat="1">
      <c r="A47" s="323"/>
      <c r="B47" s="346"/>
      <c r="C47" s="322" t="s">
        <v>48</v>
      </c>
      <c r="D47" s="345" t="s">
        <v>35</v>
      </c>
      <c r="E47" s="327">
        <f>E45*1.8*2.5</f>
        <v>10568</v>
      </c>
      <c r="F47" s="325"/>
      <c r="G47" s="319"/>
      <c r="H47" s="319"/>
      <c r="I47" s="319"/>
      <c r="J47" s="319"/>
      <c r="K47" s="319">
        <f t="shared" si="2"/>
        <v>0</v>
      </c>
      <c r="L47" s="319"/>
      <c r="M47" s="319"/>
      <c r="N47" s="319">
        <f t="shared" si="6"/>
        <v>0</v>
      </c>
      <c r="O47" s="319"/>
      <c r="P47" s="319">
        <f t="shared" si="1"/>
        <v>0</v>
      </c>
    </row>
    <row r="48" spans="1:16" s="133" customFormat="1" ht="15.75">
      <c r="A48" s="323">
        <v>14</v>
      </c>
      <c r="B48" s="346" t="s">
        <v>67</v>
      </c>
      <c r="C48" s="322" t="s">
        <v>49</v>
      </c>
      <c r="D48" s="345" t="s">
        <v>44</v>
      </c>
      <c r="E48" s="324">
        <f>SUM(E35)</f>
        <v>2348.34</v>
      </c>
      <c r="F48" s="325"/>
      <c r="G48" s="319"/>
      <c r="H48" s="324">
        <f>ROUND(G48*F48,2)</f>
        <v>0</v>
      </c>
      <c r="I48" s="319"/>
      <c r="J48" s="319"/>
      <c r="K48" s="319">
        <f t="shared" si="2"/>
        <v>0</v>
      </c>
      <c r="L48" s="319">
        <f t="shared" si="3"/>
        <v>0</v>
      </c>
      <c r="M48" s="319">
        <f t="shared" si="4"/>
        <v>0</v>
      </c>
      <c r="N48" s="319"/>
      <c r="O48" s="319">
        <f t="shared" si="5"/>
        <v>0</v>
      </c>
      <c r="P48" s="319">
        <f t="shared" si="1"/>
        <v>0</v>
      </c>
    </row>
    <row r="49" spans="1:16" s="133" customFormat="1">
      <c r="A49" s="323"/>
      <c r="B49" s="346"/>
      <c r="C49" s="322" t="s">
        <v>50</v>
      </c>
      <c r="D49" s="345" t="s">
        <v>35</v>
      </c>
      <c r="E49" s="327">
        <f>E48*0.18</f>
        <v>423</v>
      </c>
      <c r="F49" s="325"/>
      <c r="G49" s="319"/>
      <c r="H49" s="319"/>
      <c r="I49" s="319"/>
      <c r="J49" s="319"/>
      <c r="K49" s="319">
        <f t="shared" si="2"/>
        <v>0</v>
      </c>
      <c r="L49" s="319"/>
      <c r="M49" s="319"/>
      <c r="N49" s="319">
        <f t="shared" si="6"/>
        <v>0</v>
      </c>
      <c r="O49" s="319"/>
      <c r="P49" s="319">
        <f t="shared" si="1"/>
        <v>0</v>
      </c>
    </row>
    <row r="50" spans="1:16" s="133" customFormat="1">
      <c r="A50" s="323"/>
      <c r="B50" s="346"/>
      <c r="C50" s="322" t="s">
        <v>51</v>
      </c>
      <c r="D50" s="345" t="s">
        <v>35</v>
      </c>
      <c r="E50" s="327">
        <f>E48*0.3</f>
        <v>705</v>
      </c>
      <c r="F50" s="325"/>
      <c r="G50" s="319"/>
      <c r="H50" s="319"/>
      <c r="I50" s="319"/>
      <c r="J50" s="319"/>
      <c r="K50" s="319">
        <f t="shared" si="2"/>
        <v>0</v>
      </c>
      <c r="L50" s="319"/>
      <c r="M50" s="319"/>
      <c r="N50" s="319">
        <f t="shared" si="6"/>
        <v>0</v>
      </c>
      <c r="O50" s="319"/>
      <c r="P50" s="319">
        <f t="shared" si="1"/>
        <v>0</v>
      </c>
    </row>
    <row r="51" spans="1:16" s="23" customFormat="1" ht="25.5">
      <c r="A51" s="323">
        <f>A48+1</f>
        <v>15</v>
      </c>
      <c r="B51" s="346" t="s">
        <v>67</v>
      </c>
      <c r="C51" s="347" t="s">
        <v>214</v>
      </c>
      <c r="D51" s="345" t="s">
        <v>44</v>
      </c>
      <c r="E51" s="324">
        <v>371.37</v>
      </c>
      <c r="F51" s="325"/>
      <c r="G51" s="319"/>
      <c r="H51" s="324">
        <f>ROUND(G51*F51,2)</f>
        <v>0</v>
      </c>
      <c r="I51" s="319"/>
      <c r="J51" s="319"/>
      <c r="K51" s="319">
        <f t="shared" si="2"/>
        <v>0</v>
      </c>
      <c r="L51" s="319">
        <f t="shared" si="3"/>
        <v>0</v>
      </c>
      <c r="M51" s="319">
        <f t="shared" si="4"/>
        <v>0</v>
      </c>
      <c r="N51" s="319"/>
      <c r="O51" s="319">
        <f t="shared" si="5"/>
        <v>0</v>
      </c>
      <c r="P51" s="319">
        <f t="shared" si="1"/>
        <v>0</v>
      </c>
    </row>
    <row r="52" spans="1:16" s="23" customFormat="1" ht="25.5">
      <c r="A52" s="329"/>
      <c r="B52" s="344"/>
      <c r="C52" s="352" t="s">
        <v>343</v>
      </c>
      <c r="D52" s="344" t="s">
        <v>43</v>
      </c>
      <c r="E52" s="324">
        <f>E51*1.05</f>
        <v>389.94</v>
      </c>
      <c r="F52" s="325"/>
      <c r="G52" s="319"/>
      <c r="H52" s="319"/>
      <c r="I52" s="319"/>
      <c r="J52" s="319"/>
      <c r="K52" s="319">
        <f t="shared" si="2"/>
        <v>0</v>
      </c>
      <c r="L52" s="319"/>
      <c r="M52" s="319"/>
      <c r="N52" s="319">
        <f t="shared" si="6"/>
        <v>0</v>
      </c>
      <c r="O52" s="319"/>
      <c r="P52" s="319">
        <f t="shared" si="1"/>
        <v>0</v>
      </c>
    </row>
    <row r="53" spans="1:16" s="23" customFormat="1">
      <c r="A53" s="329"/>
      <c r="B53" s="344"/>
      <c r="C53" s="347" t="s">
        <v>31</v>
      </c>
      <c r="D53" s="344" t="s">
        <v>35</v>
      </c>
      <c r="E53" s="324">
        <f>E51*6</f>
        <v>2228.2199999999998</v>
      </c>
      <c r="F53" s="324"/>
      <c r="G53" s="324"/>
      <c r="H53" s="324"/>
      <c r="I53" s="319"/>
      <c r="J53" s="319"/>
      <c r="K53" s="319">
        <f t="shared" si="2"/>
        <v>0</v>
      </c>
      <c r="L53" s="319"/>
      <c r="M53" s="319"/>
      <c r="N53" s="319">
        <f t="shared" si="6"/>
        <v>0</v>
      </c>
      <c r="O53" s="319"/>
      <c r="P53" s="319">
        <f t="shared" si="1"/>
        <v>0</v>
      </c>
    </row>
    <row r="54" spans="1:16" s="23" customFormat="1">
      <c r="A54" s="329"/>
      <c r="B54" s="344"/>
      <c r="C54" s="347" t="s">
        <v>215</v>
      </c>
      <c r="D54" s="344" t="s">
        <v>211</v>
      </c>
      <c r="E54" s="324">
        <f>E51*5</f>
        <v>1856.85</v>
      </c>
      <c r="F54" s="324"/>
      <c r="G54" s="324"/>
      <c r="H54" s="324"/>
      <c r="I54" s="319"/>
      <c r="J54" s="319"/>
      <c r="K54" s="319">
        <f t="shared" si="2"/>
        <v>0</v>
      </c>
      <c r="L54" s="319"/>
      <c r="M54" s="319"/>
      <c r="N54" s="319">
        <f t="shared" si="6"/>
        <v>0</v>
      </c>
      <c r="O54" s="319"/>
      <c r="P54" s="319">
        <f t="shared" si="1"/>
        <v>0</v>
      </c>
    </row>
    <row r="55" spans="1:16" s="133" customFormat="1" ht="15.75">
      <c r="A55" s="323">
        <f>A51+1</f>
        <v>16</v>
      </c>
      <c r="B55" s="346" t="s">
        <v>67</v>
      </c>
      <c r="C55" s="322" t="s">
        <v>216</v>
      </c>
      <c r="D55" s="345" t="s">
        <v>44</v>
      </c>
      <c r="E55" s="324">
        <f>E51</f>
        <v>371.37</v>
      </c>
      <c r="F55" s="325"/>
      <c r="G55" s="319"/>
      <c r="H55" s="324">
        <f>ROUND(G55*F55,2)</f>
        <v>0</v>
      </c>
      <c r="I55" s="319"/>
      <c r="J55" s="319"/>
      <c r="K55" s="319">
        <f t="shared" si="2"/>
        <v>0</v>
      </c>
      <c r="L55" s="319">
        <f t="shared" si="3"/>
        <v>0</v>
      </c>
      <c r="M55" s="319">
        <f t="shared" si="4"/>
        <v>0</v>
      </c>
      <c r="N55" s="319"/>
      <c r="O55" s="319">
        <f t="shared" si="5"/>
        <v>0</v>
      </c>
      <c r="P55" s="319">
        <f t="shared" si="1"/>
        <v>0</v>
      </c>
    </row>
    <row r="56" spans="1:16" s="133" customFormat="1" ht="15.75">
      <c r="A56" s="323"/>
      <c r="B56" s="346"/>
      <c r="C56" s="322" t="s">
        <v>32</v>
      </c>
      <c r="D56" s="345" t="s">
        <v>44</v>
      </c>
      <c r="E56" s="324">
        <f>E55*1.03</f>
        <v>382.51</v>
      </c>
      <c r="F56" s="325"/>
      <c r="G56" s="319"/>
      <c r="H56" s="319"/>
      <c r="I56" s="319"/>
      <c r="J56" s="319"/>
      <c r="K56" s="319">
        <f t="shared" si="2"/>
        <v>0</v>
      </c>
      <c r="L56" s="319"/>
      <c r="M56" s="319"/>
      <c r="N56" s="319">
        <f t="shared" si="6"/>
        <v>0</v>
      </c>
      <c r="O56" s="319"/>
      <c r="P56" s="319">
        <f t="shared" si="1"/>
        <v>0</v>
      </c>
    </row>
    <row r="57" spans="1:16" s="133" customFormat="1">
      <c r="A57" s="323"/>
      <c r="B57" s="346"/>
      <c r="C57" s="322" t="s">
        <v>31</v>
      </c>
      <c r="D57" s="345" t="s">
        <v>35</v>
      </c>
      <c r="E57" s="324">
        <f>E55*6</f>
        <v>2228.2199999999998</v>
      </c>
      <c r="F57" s="325"/>
      <c r="G57" s="319"/>
      <c r="H57" s="319"/>
      <c r="I57" s="319"/>
      <c r="J57" s="319"/>
      <c r="K57" s="319">
        <f t="shared" si="2"/>
        <v>0</v>
      </c>
      <c r="L57" s="319"/>
      <c r="M57" s="319"/>
      <c r="N57" s="319">
        <f t="shared" si="6"/>
        <v>0</v>
      </c>
      <c r="O57" s="319"/>
      <c r="P57" s="319">
        <f t="shared" si="1"/>
        <v>0</v>
      </c>
    </row>
    <row r="58" spans="1:16" s="133" customFormat="1">
      <c r="A58" s="323"/>
      <c r="B58" s="346"/>
      <c r="C58" s="322" t="s">
        <v>217</v>
      </c>
      <c r="D58" s="345" t="s">
        <v>37</v>
      </c>
      <c r="E58" s="324">
        <v>2000</v>
      </c>
      <c r="F58" s="325"/>
      <c r="G58" s="319"/>
      <c r="H58" s="319"/>
      <c r="I58" s="319"/>
      <c r="J58" s="319"/>
      <c r="K58" s="319">
        <f t="shared" si="2"/>
        <v>0</v>
      </c>
      <c r="L58" s="319"/>
      <c r="M58" s="319"/>
      <c r="N58" s="319">
        <f t="shared" si="6"/>
        <v>0</v>
      </c>
      <c r="O58" s="319"/>
      <c r="P58" s="319">
        <f t="shared" si="1"/>
        <v>0</v>
      </c>
    </row>
    <row r="59" spans="1:16" s="133" customFormat="1" ht="15.75">
      <c r="A59" s="320">
        <f>A55+1</f>
        <v>17</v>
      </c>
      <c r="B59" s="346" t="s">
        <v>67</v>
      </c>
      <c r="C59" s="322" t="s">
        <v>218</v>
      </c>
      <c r="D59" s="345" t="s">
        <v>44</v>
      </c>
      <c r="E59" s="324">
        <f>SUM(E51)</f>
        <v>371.37</v>
      </c>
      <c r="F59" s="325"/>
      <c r="G59" s="319"/>
      <c r="H59" s="324">
        <f>ROUND(G59*F59,2)</f>
        <v>0</v>
      </c>
      <c r="I59" s="319"/>
      <c r="J59" s="319"/>
      <c r="K59" s="319">
        <f t="shared" si="2"/>
        <v>0</v>
      </c>
      <c r="L59" s="319">
        <f t="shared" si="3"/>
        <v>0</v>
      </c>
      <c r="M59" s="319">
        <f t="shared" si="4"/>
        <v>0</v>
      </c>
      <c r="N59" s="319"/>
      <c r="O59" s="319">
        <f t="shared" si="5"/>
        <v>0</v>
      </c>
      <c r="P59" s="319">
        <f t="shared" si="1"/>
        <v>0</v>
      </c>
    </row>
    <row r="60" spans="1:16" s="133" customFormat="1">
      <c r="A60" s="323"/>
      <c r="B60" s="346"/>
      <c r="C60" s="322" t="s">
        <v>65</v>
      </c>
      <c r="D60" s="345" t="s">
        <v>35</v>
      </c>
      <c r="E60" s="327">
        <f>E59*0.18</f>
        <v>67</v>
      </c>
      <c r="F60" s="325"/>
      <c r="G60" s="319"/>
      <c r="H60" s="319"/>
      <c r="I60" s="319"/>
      <c r="J60" s="319"/>
      <c r="K60" s="319">
        <f t="shared" si="2"/>
        <v>0</v>
      </c>
      <c r="L60" s="319"/>
      <c r="M60" s="319"/>
      <c r="N60" s="319">
        <f t="shared" si="6"/>
        <v>0</v>
      </c>
      <c r="O60" s="319"/>
      <c r="P60" s="319">
        <f t="shared" si="1"/>
        <v>0</v>
      </c>
    </row>
    <row r="61" spans="1:16" s="133" customFormat="1">
      <c r="A61" s="323"/>
      <c r="B61" s="346"/>
      <c r="C61" s="322" t="s">
        <v>48</v>
      </c>
      <c r="D61" s="345" t="s">
        <v>35</v>
      </c>
      <c r="E61" s="327">
        <f>E59*1.8*2.5</f>
        <v>1671</v>
      </c>
      <c r="F61" s="325"/>
      <c r="G61" s="319"/>
      <c r="H61" s="319"/>
      <c r="I61" s="319"/>
      <c r="J61" s="319"/>
      <c r="K61" s="319">
        <f t="shared" si="2"/>
        <v>0</v>
      </c>
      <c r="L61" s="319"/>
      <c r="M61" s="319"/>
      <c r="N61" s="319">
        <f t="shared" si="6"/>
        <v>0</v>
      </c>
      <c r="O61" s="319"/>
      <c r="P61" s="319">
        <f t="shared" si="1"/>
        <v>0</v>
      </c>
    </row>
    <row r="62" spans="1:16" s="133" customFormat="1" ht="15.75">
      <c r="A62" s="323">
        <f>A59+1</f>
        <v>18</v>
      </c>
      <c r="B62" s="346" t="s">
        <v>67</v>
      </c>
      <c r="C62" s="322" t="s">
        <v>219</v>
      </c>
      <c r="D62" s="345" t="s">
        <v>44</v>
      </c>
      <c r="E62" s="324">
        <f>E59</f>
        <v>371.37</v>
      </c>
      <c r="F62" s="325"/>
      <c r="G62" s="319"/>
      <c r="H62" s="324">
        <f>ROUND(G62*F62,2)</f>
        <v>0</v>
      </c>
      <c r="I62" s="319"/>
      <c r="J62" s="319"/>
      <c r="K62" s="319">
        <f t="shared" si="2"/>
        <v>0</v>
      </c>
      <c r="L62" s="319">
        <f t="shared" si="3"/>
        <v>0</v>
      </c>
      <c r="M62" s="319">
        <f t="shared" si="4"/>
        <v>0</v>
      </c>
      <c r="N62" s="319"/>
      <c r="O62" s="319">
        <f t="shared" si="5"/>
        <v>0</v>
      </c>
      <c r="P62" s="319">
        <f t="shared" si="1"/>
        <v>0</v>
      </c>
    </row>
    <row r="63" spans="1:16" s="133" customFormat="1">
      <c r="A63" s="323"/>
      <c r="B63" s="346"/>
      <c r="C63" s="322" t="s">
        <v>50</v>
      </c>
      <c r="D63" s="345" t="s">
        <v>35</v>
      </c>
      <c r="E63" s="327">
        <f>E62*0.18</f>
        <v>67</v>
      </c>
      <c r="F63" s="325"/>
      <c r="G63" s="319"/>
      <c r="H63" s="319"/>
      <c r="I63" s="319"/>
      <c r="J63" s="319"/>
      <c r="K63" s="319">
        <f t="shared" si="2"/>
        <v>0</v>
      </c>
      <c r="L63" s="319"/>
      <c r="M63" s="319"/>
      <c r="N63" s="319">
        <f t="shared" si="6"/>
        <v>0</v>
      </c>
      <c r="O63" s="319"/>
      <c r="P63" s="319">
        <f t="shared" si="1"/>
        <v>0</v>
      </c>
    </row>
    <row r="64" spans="1:16" s="133" customFormat="1">
      <c r="A64" s="323"/>
      <c r="B64" s="346"/>
      <c r="C64" s="322" t="s">
        <v>51</v>
      </c>
      <c r="D64" s="345" t="s">
        <v>35</v>
      </c>
      <c r="E64" s="327">
        <f>E62*0.3</f>
        <v>111</v>
      </c>
      <c r="F64" s="325"/>
      <c r="G64" s="319"/>
      <c r="H64" s="319"/>
      <c r="I64" s="319"/>
      <c r="J64" s="319"/>
      <c r="K64" s="319">
        <f t="shared" si="2"/>
        <v>0</v>
      </c>
      <c r="L64" s="319"/>
      <c r="M64" s="319"/>
      <c r="N64" s="319">
        <f t="shared" si="6"/>
        <v>0</v>
      </c>
      <c r="O64" s="319"/>
      <c r="P64" s="319">
        <f t="shared" si="1"/>
        <v>0</v>
      </c>
    </row>
    <row r="65" spans="1:16" s="133" customFormat="1">
      <c r="A65" s="332">
        <v>19</v>
      </c>
      <c r="B65" s="344" t="s">
        <v>38</v>
      </c>
      <c r="C65" s="322" t="s">
        <v>335</v>
      </c>
      <c r="D65" s="345" t="s">
        <v>127</v>
      </c>
      <c r="E65" s="333">
        <v>90</v>
      </c>
      <c r="F65" s="319"/>
      <c r="G65" s="319"/>
      <c r="H65" s="319">
        <f>ROUND(G65*F65,2)</f>
        <v>0</v>
      </c>
      <c r="I65" s="319"/>
      <c r="J65" s="319"/>
      <c r="K65" s="319">
        <f t="shared" si="2"/>
        <v>0</v>
      </c>
      <c r="L65" s="319">
        <f>ROUND(E65*F65,2)</f>
        <v>0</v>
      </c>
      <c r="M65" s="319">
        <f>ROUND(E65*H65,2)</f>
        <v>0</v>
      </c>
      <c r="N65" s="324"/>
      <c r="O65" s="319">
        <f>ROUND(E65*J65,2)</f>
        <v>0</v>
      </c>
      <c r="P65" s="319">
        <f t="shared" si="1"/>
        <v>0</v>
      </c>
    </row>
    <row r="66" spans="1:16" s="133" customFormat="1">
      <c r="A66" s="332"/>
      <c r="B66" s="344"/>
      <c r="C66" s="322" t="s">
        <v>336</v>
      </c>
      <c r="D66" s="345" t="s">
        <v>127</v>
      </c>
      <c r="E66" s="333">
        <v>90</v>
      </c>
      <c r="F66" s="319"/>
      <c r="G66" s="319"/>
      <c r="H66" s="319"/>
      <c r="I66" s="319"/>
      <c r="J66" s="319"/>
      <c r="K66" s="319"/>
      <c r="L66" s="319"/>
      <c r="M66" s="319"/>
      <c r="N66" s="324">
        <f t="shared" ref="N66:N86" si="25">ROUND(I66*E66,2)</f>
        <v>0</v>
      </c>
      <c r="O66" s="319"/>
      <c r="P66" s="319">
        <f t="shared" si="1"/>
        <v>0</v>
      </c>
    </row>
    <row r="67" spans="1:16" s="133" customFormat="1">
      <c r="A67" s="332">
        <v>20</v>
      </c>
      <c r="B67" s="346" t="s">
        <v>67</v>
      </c>
      <c r="C67" s="322" t="s">
        <v>285</v>
      </c>
      <c r="D67" s="345" t="s">
        <v>131</v>
      </c>
      <c r="E67" s="325">
        <v>316.8</v>
      </c>
      <c r="F67" s="325"/>
      <c r="G67" s="319"/>
      <c r="H67" s="324">
        <f t="shared" ref="H67" si="26">ROUND(G67*F67,2)</f>
        <v>0</v>
      </c>
      <c r="I67" s="319"/>
      <c r="J67" s="319"/>
      <c r="K67" s="319">
        <f t="shared" ref="K67:K90" si="27">J67+I67+H67</f>
        <v>0</v>
      </c>
      <c r="L67" s="319">
        <f t="shared" ref="L67:L84" si="28">ROUND(F67*E67,2)</f>
        <v>0</v>
      </c>
      <c r="M67" s="319">
        <f t="shared" ref="M67:M84" si="29">ROUND(H67*E67,2)</f>
        <v>0</v>
      </c>
      <c r="N67" s="319">
        <f t="shared" si="25"/>
        <v>0</v>
      </c>
      <c r="O67" s="319">
        <f t="shared" ref="O67:O84" si="30">ROUND(J67*E67,2)</f>
        <v>0</v>
      </c>
      <c r="P67" s="319">
        <f t="shared" si="1"/>
        <v>0</v>
      </c>
    </row>
    <row r="68" spans="1:16" s="133" customFormat="1" ht="15.75">
      <c r="A68" s="320">
        <v>21</v>
      </c>
      <c r="B68" s="346" t="s">
        <v>265</v>
      </c>
      <c r="C68" s="322" t="s">
        <v>266</v>
      </c>
      <c r="D68" s="345" t="s">
        <v>44</v>
      </c>
      <c r="E68" s="324">
        <v>145.08000000000001</v>
      </c>
      <c r="F68" s="325"/>
      <c r="G68" s="319"/>
      <c r="H68" s="324">
        <f>ROUND(G68*F68,2)</f>
        <v>0</v>
      </c>
      <c r="I68" s="319"/>
      <c r="J68" s="319"/>
      <c r="K68" s="319">
        <f t="shared" si="27"/>
        <v>0</v>
      </c>
      <c r="L68" s="319">
        <f t="shared" si="28"/>
        <v>0</v>
      </c>
      <c r="M68" s="319">
        <f t="shared" si="29"/>
        <v>0</v>
      </c>
      <c r="N68" s="319"/>
      <c r="O68" s="319">
        <f t="shared" si="30"/>
        <v>0</v>
      </c>
      <c r="P68" s="319">
        <f t="shared" si="1"/>
        <v>0</v>
      </c>
    </row>
    <row r="69" spans="1:16" s="133" customFormat="1">
      <c r="A69" s="323"/>
      <c r="B69" s="346"/>
      <c r="C69" s="352" t="s">
        <v>208</v>
      </c>
      <c r="D69" s="345" t="s">
        <v>35</v>
      </c>
      <c r="E69" s="327">
        <f>SUM(E68)*0.2</f>
        <v>29</v>
      </c>
      <c r="F69" s="325"/>
      <c r="G69" s="319"/>
      <c r="H69" s="319"/>
      <c r="I69" s="319"/>
      <c r="J69" s="319"/>
      <c r="K69" s="319">
        <f t="shared" si="27"/>
        <v>0</v>
      </c>
      <c r="L69" s="319"/>
      <c r="M69" s="319"/>
      <c r="N69" s="319">
        <f t="shared" ref="N69:N71" si="31">ROUND(I69*E69,2)</f>
        <v>0</v>
      </c>
      <c r="O69" s="319"/>
      <c r="P69" s="319">
        <f t="shared" si="1"/>
        <v>0</v>
      </c>
    </row>
    <row r="70" spans="1:16" s="133" customFormat="1">
      <c r="A70" s="323"/>
      <c r="B70" s="346"/>
      <c r="C70" s="322" t="s">
        <v>267</v>
      </c>
      <c r="D70" s="345" t="s">
        <v>35</v>
      </c>
      <c r="E70" s="327">
        <f>SUM(E68)*6</f>
        <v>870</v>
      </c>
      <c r="F70" s="325"/>
      <c r="G70" s="319"/>
      <c r="H70" s="319"/>
      <c r="I70" s="319"/>
      <c r="J70" s="319"/>
      <c r="K70" s="319">
        <f t="shared" si="27"/>
        <v>0</v>
      </c>
      <c r="L70" s="319"/>
      <c r="M70" s="319"/>
      <c r="N70" s="319">
        <f t="shared" si="31"/>
        <v>0</v>
      </c>
      <c r="O70" s="319"/>
      <c r="P70" s="319">
        <f t="shared" si="1"/>
        <v>0</v>
      </c>
    </row>
    <row r="71" spans="1:16" s="133" customFormat="1">
      <c r="A71" s="323"/>
      <c r="B71" s="346"/>
      <c r="C71" s="322" t="s">
        <v>268</v>
      </c>
      <c r="D71" s="345" t="s">
        <v>35</v>
      </c>
      <c r="E71" s="327">
        <f>SUM(E68)*3</f>
        <v>435</v>
      </c>
      <c r="F71" s="325"/>
      <c r="G71" s="319"/>
      <c r="H71" s="319"/>
      <c r="I71" s="319"/>
      <c r="J71" s="319"/>
      <c r="K71" s="319">
        <f t="shared" si="27"/>
        <v>0</v>
      </c>
      <c r="L71" s="319"/>
      <c r="M71" s="319"/>
      <c r="N71" s="319">
        <f t="shared" si="31"/>
        <v>0</v>
      </c>
      <c r="O71" s="319"/>
      <c r="P71" s="319">
        <f t="shared" si="1"/>
        <v>0</v>
      </c>
    </row>
    <row r="72" spans="1:16" s="133" customFormat="1" ht="12.75" customHeight="1">
      <c r="A72" s="323">
        <v>22</v>
      </c>
      <c r="B72" s="353" t="s">
        <v>54</v>
      </c>
      <c r="C72" s="354" t="s">
        <v>287</v>
      </c>
      <c r="D72" s="355" t="s">
        <v>131</v>
      </c>
      <c r="E72" s="356">
        <v>145.08000000000001</v>
      </c>
      <c r="F72" s="357"/>
      <c r="G72" s="358"/>
      <c r="H72" s="359">
        <f t="shared" ref="H72" si="32">ROUND(G72*F72,2)</f>
        <v>0</v>
      </c>
      <c r="I72" s="360"/>
      <c r="J72" s="358"/>
      <c r="K72" s="358">
        <f t="shared" si="27"/>
        <v>0</v>
      </c>
      <c r="L72" s="358">
        <f t="shared" ref="L72" si="33">ROUND(F72*E72,2)</f>
        <v>0</v>
      </c>
      <c r="M72" s="358">
        <f t="shared" ref="M72" si="34">ROUND(H72*E72,2)</f>
        <v>0</v>
      </c>
      <c r="N72" s="358"/>
      <c r="O72" s="358">
        <f t="shared" ref="O72" si="35">ROUND(J72*E72,2)</f>
        <v>0</v>
      </c>
      <c r="P72" s="358">
        <f t="shared" si="1"/>
        <v>0</v>
      </c>
    </row>
    <row r="73" spans="1:16" s="133" customFormat="1" ht="12.75" customHeight="1">
      <c r="A73" s="323">
        <v>23</v>
      </c>
      <c r="B73" s="353" t="s">
        <v>143</v>
      </c>
      <c r="C73" s="361" t="s">
        <v>289</v>
      </c>
      <c r="D73" s="362" t="s">
        <v>131</v>
      </c>
      <c r="E73" s="356">
        <v>290.16000000000003</v>
      </c>
      <c r="F73" s="363"/>
      <c r="G73" s="363"/>
      <c r="H73" s="324">
        <f>SUM(F73*G73)</f>
        <v>0</v>
      </c>
      <c r="I73" s="324"/>
      <c r="J73" s="324"/>
      <c r="K73" s="364">
        <f t="shared" si="27"/>
        <v>0</v>
      </c>
      <c r="L73" s="364">
        <f t="shared" ref="L73:L76" si="36">F73*E73</f>
        <v>0</v>
      </c>
      <c r="M73" s="364">
        <f t="shared" ref="M73:M76" si="37">H73*E73</f>
        <v>0</v>
      </c>
      <c r="N73" s="364"/>
      <c r="O73" s="364">
        <f t="shared" ref="O73:O76" si="38">J73*E73</f>
        <v>0</v>
      </c>
      <c r="P73" s="364">
        <f t="shared" si="1"/>
        <v>0</v>
      </c>
    </row>
    <row r="74" spans="1:16" s="133" customFormat="1" ht="25.5">
      <c r="A74" s="323">
        <v>24</v>
      </c>
      <c r="B74" s="353" t="s">
        <v>143</v>
      </c>
      <c r="C74" s="354" t="s">
        <v>290</v>
      </c>
      <c r="D74" s="355" t="s">
        <v>131</v>
      </c>
      <c r="E74" s="365">
        <f>E73*1</f>
        <v>290.16000000000003</v>
      </c>
      <c r="F74" s="366"/>
      <c r="G74" s="363"/>
      <c r="H74" s="324">
        <f>SUM(F74*G74)</f>
        <v>0</v>
      </c>
      <c r="I74" s="324"/>
      <c r="J74" s="324"/>
      <c r="K74" s="364">
        <f t="shared" si="27"/>
        <v>0</v>
      </c>
      <c r="L74" s="364">
        <f t="shared" si="36"/>
        <v>0</v>
      </c>
      <c r="M74" s="364">
        <f t="shared" si="37"/>
        <v>0</v>
      </c>
      <c r="N74" s="364"/>
      <c r="O74" s="364">
        <f t="shared" si="38"/>
        <v>0</v>
      </c>
      <c r="P74" s="364">
        <f t="shared" si="1"/>
        <v>0</v>
      </c>
    </row>
    <row r="75" spans="1:16" s="133" customFormat="1">
      <c r="A75" s="323"/>
      <c r="B75" s="353"/>
      <c r="C75" s="354" t="s">
        <v>137</v>
      </c>
      <c r="D75" s="355" t="s">
        <v>35</v>
      </c>
      <c r="E75" s="365">
        <f>E74*1.8*2</f>
        <v>1044.58</v>
      </c>
      <c r="F75" s="366"/>
      <c r="G75" s="363"/>
      <c r="H75" s="324"/>
      <c r="I75" s="324"/>
      <c r="J75" s="324"/>
      <c r="K75" s="364">
        <f t="shared" si="27"/>
        <v>0</v>
      </c>
      <c r="L75" s="364"/>
      <c r="M75" s="364"/>
      <c r="N75" s="364">
        <f t="shared" ref="N75:N77" si="39">I75*E75</f>
        <v>0</v>
      </c>
      <c r="O75" s="364"/>
      <c r="P75" s="364">
        <f t="shared" si="1"/>
        <v>0</v>
      </c>
    </row>
    <row r="76" spans="1:16" s="133" customFormat="1" ht="25.5">
      <c r="A76" s="332">
        <v>25</v>
      </c>
      <c r="B76" s="353" t="s">
        <v>143</v>
      </c>
      <c r="C76" s="354" t="s">
        <v>291</v>
      </c>
      <c r="D76" s="355" t="s">
        <v>131</v>
      </c>
      <c r="E76" s="365">
        <v>145.08000000000001</v>
      </c>
      <c r="F76" s="366"/>
      <c r="G76" s="363"/>
      <c r="H76" s="324">
        <f>SUM(F76*G76)</f>
        <v>0</v>
      </c>
      <c r="I76" s="324"/>
      <c r="J76" s="324"/>
      <c r="K76" s="364">
        <f t="shared" si="27"/>
        <v>0</v>
      </c>
      <c r="L76" s="364">
        <f t="shared" si="36"/>
        <v>0</v>
      </c>
      <c r="M76" s="364">
        <f t="shared" si="37"/>
        <v>0</v>
      </c>
      <c r="N76" s="364"/>
      <c r="O76" s="364">
        <f t="shared" si="38"/>
        <v>0</v>
      </c>
      <c r="P76" s="364">
        <f t="shared" si="1"/>
        <v>0</v>
      </c>
    </row>
    <row r="77" spans="1:16" s="133" customFormat="1">
      <c r="A77" s="332"/>
      <c r="B77" s="353"/>
      <c r="C77" s="354" t="s">
        <v>138</v>
      </c>
      <c r="D77" s="355" t="s">
        <v>35</v>
      </c>
      <c r="E77" s="365">
        <f>E76*0.8</f>
        <v>116.06</v>
      </c>
      <c r="F77" s="366"/>
      <c r="G77" s="363"/>
      <c r="H77" s="324"/>
      <c r="I77" s="324"/>
      <c r="J77" s="324"/>
      <c r="K77" s="364">
        <f t="shared" si="27"/>
        <v>0</v>
      </c>
      <c r="L77" s="364"/>
      <c r="M77" s="364"/>
      <c r="N77" s="364">
        <f t="shared" si="39"/>
        <v>0</v>
      </c>
      <c r="O77" s="364"/>
      <c r="P77" s="364">
        <f t="shared" si="1"/>
        <v>0</v>
      </c>
    </row>
    <row r="78" spans="1:16" s="133" customFormat="1" ht="15.75">
      <c r="A78" s="332">
        <v>26</v>
      </c>
      <c r="B78" s="346" t="s">
        <v>67</v>
      </c>
      <c r="C78" s="322" t="s">
        <v>286</v>
      </c>
      <c r="D78" s="345" t="s">
        <v>44</v>
      </c>
      <c r="E78" s="325">
        <v>145.08000000000001</v>
      </c>
      <c r="F78" s="325"/>
      <c r="G78" s="319"/>
      <c r="H78" s="324">
        <f>ROUND(G78*F78,2)</f>
        <v>0</v>
      </c>
      <c r="I78" s="319"/>
      <c r="J78" s="319"/>
      <c r="K78" s="319">
        <f t="shared" si="27"/>
        <v>0</v>
      </c>
      <c r="L78" s="319">
        <f t="shared" si="28"/>
        <v>0</v>
      </c>
      <c r="M78" s="319">
        <f t="shared" si="29"/>
        <v>0</v>
      </c>
      <c r="N78" s="319"/>
      <c r="O78" s="319">
        <f t="shared" si="30"/>
        <v>0</v>
      </c>
      <c r="P78" s="319">
        <f t="shared" si="1"/>
        <v>0</v>
      </c>
    </row>
    <row r="79" spans="1:16" s="133" customFormat="1">
      <c r="A79" s="332"/>
      <c r="B79" s="346"/>
      <c r="C79" s="322" t="s">
        <v>208</v>
      </c>
      <c r="D79" s="345" t="s">
        <v>35</v>
      </c>
      <c r="E79" s="324">
        <f>SUM(E78)*0.2</f>
        <v>29.02</v>
      </c>
      <c r="F79" s="325"/>
      <c r="G79" s="319"/>
      <c r="H79" s="324"/>
      <c r="I79" s="319"/>
      <c r="J79" s="319"/>
      <c r="K79" s="319">
        <f t="shared" si="27"/>
        <v>0</v>
      </c>
      <c r="L79" s="319"/>
      <c r="M79" s="319"/>
      <c r="N79" s="319">
        <f t="shared" si="25"/>
        <v>0</v>
      </c>
      <c r="O79" s="319"/>
      <c r="P79" s="319">
        <f t="shared" si="1"/>
        <v>0</v>
      </c>
    </row>
    <row r="80" spans="1:16" s="133" customFormat="1">
      <c r="A80" s="332"/>
      <c r="B80" s="346"/>
      <c r="C80" s="322" t="s">
        <v>295</v>
      </c>
      <c r="D80" s="345" t="s">
        <v>131</v>
      </c>
      <c r="E80" s="324">
        <f>SUM(E78)*1.1</f>
        <v>159.59</v>
      </c>
      <c r="F80" s="325"/>
      <c r="G80" s="319"/>
      <c r="H80" s="324"/>
      <c r="I80" s="319"/>
      <c r="J80" s="319"/>
      <c r="K80" s="319">
        <f t="shared" ref="K80:K82" si="40">J80+I80+H80</f>
        <v>0</v>
      </c>
      <c r="L80" s="319"/>
      <c r="M80" s="319"/>
      <c r="N80" s="319">
        <f t="shared" ref="N80:N82" si="41">ROUND(I80*E80,2)</f>
        <v>0</v>
      </c>
      <c r="O80" s="319"/>
      <c r="P80" s="319">
        <f t="shared" ref="P80:P82" si="42">O80+N80+M80</f>
        <v>0</v>
      </c>
    </row>
    <row r="81" spans="1:17" s="133" customFormat="1">
      <c r="A81" s="332"/>
      <c r="B81" s="346"/>
      <c r="C81" s="322" t="s">
        <v>296</v>
      </c>
      <c r="D81" s="345" t="s">
        <v>131</v>
      </c>
      <c r="E81" s="324">
        <v>23</v>
      </c>
      <c r="F81" s="325"/>
      <c r="G81" s="319"/>
      <c r="H81" s="324"/>
      <c r="I81" s="319"/>
      <c r="J81" s="319"/>
      <c r="K81" s="319">
        <f t="shared" si="40"/>
        <v>0</v>
      </c>
      <c r="L81" s="319"/>
      <c r="M81" s="319"/>
      <c r="N81" s="319">
        <f t="shared" si="41"/>
        <v>0</v>
      </c>
      <c r="O81" s="319"/>
      <c r="P81" s="319">
        <f t="shared" si="42"/>
        <v>0</v>
      </c>
    </row>
    <row r="82" spans="1:17" s="133" customFormat="1">
      <c r="A82" s="332"/>
      <c r="B82" s="346"/>
      <c r="C82" s="322" t="s">
        <v>294</v>
      </c>
      <c r="D82" s="345" t="s">
        <v>133</v>
      </c>
      <c r="E82" s="325">
        <v>17</v>
      </c>
      <c r="F82" s="325"/>
      <c r="G82" s="319"/>
      <c r="H82" s="319"/>
      <c r="I82" s="319"/>
      <c r="J82" s="319"/>
      <c r="K82" s="319">
        <f t="shared" si="40"/>
        <v>0</v>
      </c>
      <c r="L82" s="319"/>
      <c r="M82" s="319"/>
      <c r="N82" s="319">
        <f t="shared" si="41"/>
        <v>0</v>
      </c>
      <c r="O82" s="319"/>
      <c r="P82" s="319">
        <f t="shared" si="42"/>
        <v>0</v>
      </c>
    </row>
    <row r="83" spans="1:17" s="133" customFormat="1" ht="15.75">
      <c r="A83" s="332">
        <v>27</v>
      </c>
      <c r="B83" s="346" t="s">
        <v>67</v>
      </c>
      <c r="C83" s="322" t="s">
        <v>293</v>
      </c>
      <c r="D83" s="345" t="s">
        <v>44</v>
      </c>
      <c r="E83" s="325">
        <v>316.8</v>
      </c>
      <c r="F83" s="325"/>
      <c r="G83" s="319"/>
      <c r="H83" s="324">
        <f>ROUND(G83*F83,2)</f>
        <v>0</v>
      </c>
      <c r="I83" s="319"/>
      <c r="J83" s="319"/>
      <c r="K83" s="319">
        <f t="shared" si="27"/>
        <v>0</v>
      </c>
      <c r="L83" s="319">
        <f t="shared" si="28"/>
        <v>0</v>
      </c>
      <c r="M83" s="319">
        <f t="shared" si="29"/>
        <v>0</v>
      </c>
      <c r="N83" s="319">
        <f t="shared" si="25"/>
        <v>0</v>
      </c>
      <c r="O83" s="319">
        <f t="shared" si="30"/>
        <v>0</v>
      </c>
      <c r="P83" s="319">
        <f t="shared" si="1"/>
        <v>0</v>
      </c>
    </row>
    <row r="84" spans="1:17" s="133" customFormat="1" ht="15.75">
      <c r="A84" s="332">
        <v>28</v>
      </c>
      <c r="B84" s="346" t="s">
        <v>67</v>
      </c>
      <c r="C84" s="322" t="s">
        <v>292</v>
      </c>
      <c r="D84" s="345" t="s">
        <v>44</v>
      </c>
      <c r="E84" s="325">
        <v>145.08000000000001</v>
      </c>
      <c r="F84" s="325"/>
      <c r="G84" s="319"/>
      <c r="H84" s="324">
        <f>ROUND(G84*F84,2)</f>
        <v>0</v>
      </c>
      <c r="I84" s="319"/>
      <c r="J84" s="319"/>
      <c r="K84" s="319">
        <f t="shared" si="27"/>
        <v>0</v>
      </c>
      <c r="L84" s="319">
        <f t="shared" si="28"/>
        <v>0</v>
      </c>
      <c r="M84" s="319">
        <f t="shared" si="29"/>
        <v>0</v>
      </c>
      <c r="N84" s="319"/>
      <c r="O84" s="319">
        <f t="shared" si="30"/>
        <v>0</v>
      </c>
      <c r="P84" s="319">
        <f t="shared" si="1"/>
        <v>0</v>
      </c>
    </row>
    <row r="85" spans="1:17" s="133" customFormat="1">
      <c r="A85" s="332"/>
      <c r="B85" s="346"/>
      <c r="C85" s="322" t="s">
        <v>50</v>
      </c>
      <c r="D85" s="345" t="s">
        <v>35</v>
      </c>
      <c r="E85" s="325">
        <f>E84*0.18</f>
        <v>26.11</v>
      </c>
      <c r="F85" s="325"/>
      <c r="G85" s="319"/>
      <c r="H85" s="319"/>
      <c r="I85" s="319"/>
      <c r="J85" s="319"/>
      <c r="K85" s="319">
        <f t="shared" si="27"/>
        <v>0</v>
      </c>
      <c r="L85" s="319"/>
      <c r="M85" s="319"/>
      <c r="N85" s="319">
        <f t="shared" si="25"/>
        <v>0</v>
      </c>
      <c r="O85" s="319"/>
      <c r="P85" s="319">
        <f t="shared" si="1"/>
        <v>0</v>
      </c>
    </row>
    <row r="86" spans="1:17" s="133" customFormat="1">
      <c r="A86" s="332"/>
      <c r="B86" s="346"/>
      <c r="C86" s="322" t="s">
        <v>51</v>
      </c>
      <c r="D86" s="345" t="s">
        <v>35</v>
      </c>
      <c r="E86" s="325">
        <f>E84*0.3</f>
        <v>43.52</v>
      </c>
      <c r="F86" s="325"/>
      <c r="G86" s="319"/>
      <c r="H86" s="319"/>
      <c r="I86" s="319"/>
      <c r="J86" s="319"/>
      <c r="K86" s="319">
        <f t="shared" si="27"/>
        <v>0</v>
      </c>
      <c r="L86" s="319"/>
      <c r="M86" s="319"/>
      <c r="N86" s="319">
        <f t="shared" si="25"/>
        <v>0</v>
      </c>
      <c r="O86" s="319"/>
      <c r="P86" s="319">
        <f t="shared" si="1"/>
        <v>0</v>
      </c>
    </row>
    <row r="87" spans="1:17" s="133" customFormat="1" ht="15.75" customHeight="1">
      <c r="A87" s="377" t="s">
        <v>297</v>
      </c>
      <c r="B87" s="353" t="s">
        <v>143</v>
      </c>
      <c r="C87" s="378" t="s">
        <v>140</v>
      </c>
      <c r="D87" s="355" t="s">
        <v>139</v>
      </c>
      <c r="E87" s="365">
        <v>223.2</v>
      </c>
      <c r="F87" s="363"/>
      <c r="G87" s="363"/>
      <c r="H87" s="324">
        <f>SUM(F87*G87)</f>
        <v>0</v>
      </c>
      <c r="I87" s="324"/>
      <c r="J87" s="324"/>
      <c r="K87" s="364">
        <f t="shared" si="27"/>
        <v>0</v>
      </c>
      <c r="L87" s="364">
        <f t="shared" ref="L87" si="43">F87*E87</f>
        <v>0</v>
      </c>
      <c r="M87" s="364">
        <f t="shared" ref="M87" si="44">H87*E87</f>
        <v>0</v>
      </c>
      <c r="N87" s="364">
        <f t="shared" ref="N87" si="45">I87*E87</f>
        <v>0</v>
      </c>
      <c r="O87" s="364">
        <f t="shared" ref="O87" si="46">J87*E87</f>
        <v>0</v>
      </c>
      <c r="P87" s="364">
        <f t="shared" ref="P87" si="47">O87+N87+M87</f>
        <v>0</v>
      </c>
    </row>
    <row r="88" spans="1:17" s="133" customFormat="1" ht="12.75" customHeight="1">
      <c r="A88" s="377" t="s">
        <v>298</v>
      </c>
      <c r="B88" s="353" t="s">
        <v>143</v>
      </c>
      <c r="C88" s="379" t="s">
        <v>170</v>
      </c>
      <c r="D88" s="380" t="s">
        <v>37</v>
      </c>
      <c r="E88" s="381">
        <v>316.8</v>
      </c>
      <c r="F88" s="382"/>
      <c r="G88" s="357"/>
      <c r="H88" s="360">
        <f>G88*F88</f>
        <v>0</v>
      </c>
      <c r="I88" s="383"/>
      <c r="J88" s="359"/>
      <c r="K88" s="360">
        <f t="shared" si="27"/>
        <v>0</v>
      </c>
      <c r="L88" s="360">
        <f>F88*E88</f>
        <v>0</v>
      </c>
      <c r="M88" s="360">
        <f>H88*E88</f>
        <v>0</v>
      </c>
      <c r="N88" s="360"/>
      <c r="O88" s="360">
        <f>J88*E88</f>
        <v>0</v>
      </c>
      <c r="P88" s="360">
        <f t="shared" ref="P88:P90" si="48">O88+N88+M88</f>
        <v>0</v>
      </c>
    </row>
    <row r="89" spans="1:17" s="133" customFormat="1">
      <c r="A89" s="377"/>
      <c r="B89" s="353"/>
      <c r="C89" s="379" t="s">
        <v>272</v>
      </c>
      <c r="D89" s="380" t="s">
        <v>134</v>
      </c>
      <c r="E89" s="381">
        <v>320</v>
      </c>
      <c r="F89" s="382"/>
      <c r="G89" s="357"/>
      <c r="H89" s="360"/>
      <c r="I89" s="383"/>
      <c r="J89" s="359"/>
      <c r="K89" s="360">
        <f t="shared" si="27"/>
        <v>0</v>
      </c>
      <c r="L89" s="360"/>
      <c r="M89" s="360"/>
      <c r="N89" s="360">
        <f t="shared" ref="N89:N90" si="49">I89*E89</f>
        <v>0</v>
      </c>
      <c r="O89" s="360"/>
      <c r="P89" s="360">
        <f t="shared" si="48"/>
        <v>0</v>
      </c>
    </row>
    <row r="90" spans="1:17" s="133" customFormat="1" ht="12.75" customHeight="1" thickBot="1">
      <c r="A90" s="367"/>
      <c r="B90" s="368"/>
      <c r="C90" s="369" t="s">
        <v>78</v>
      </c>
      <c r="D90" s="370" t="s">
        <v>129</v>
      </c>
      <c r="E90" s="371">
        <v>1</v>
      </c>
      <c r="F90" s="372"/>
      <c r="G90" s="373"/>
      <c r="H90" s="374"/>
      <c r="I90" s="375"/>
      <c r="J90" s="376"/>
      <c r="K90" s="374">
        <f t="shared" si="27"/>
        <v>0</v>
      </c>
      <c r="L90" s="374"/>
      <c r="M90" s="374"/>
      <c r="N90" s="374">
        <f t="shared" si="49"/>
        <v>0</v>
      </c>
      <c r="O90" s="374"/>
      <c r="P90" s="374">
        <f t="shared" si="48"/>
        <v>0</v>
      </c>
    </row>
    <row r="91" spans="1:17" s="66" customFormat="1" ht="13.5" thickBot="1">
      <c r="A91" s="61"/>
      <c r="B91" s="4"/>
      <c r="C91" s="62" t="s">
        <v>25</v>
      </c>
      <c r="D91" s="63"/>
      <c r="E91" s="64"/>
      <c r="F91" s="65"/>
      <c r="G91" s="65"/>
      <c r="H91" s="65"/>
      <c r="I91" s="65"/>
      <c r="J91" s="65"/>
      <c r="K91" s="65"/>
      <c r="L91" s="230">
        <f>SUM(L16:L90)</f>
        <v>0</v>
      </c>
      <c r="M91" s="230">
        <f>SUM(M16:M90)</f>
        <v>0</v>
      </c>
      <c r="N91" s="230">
        <f>SUM(N16:N90)</f>
        <v>0</v>
      </c>
      <c r="O91" s="230">
        <f>SUM(O16:O90)</f>
        <v>0</v>
      </c>
      <c r="P91" s="271">
        <f>SUM(P16:P90)</f>
        <v>0</v>
      </c>
    </row>
    <row r="92" spans="1:17">
      <c r="H92" s="187"/>
      <c r="I92" s="187"/>
      <c r="J92" s="68"/>
      <c r="K92" s="68" t="s">
        <v>26</v>
      </c>
      <c r="L92" s="69" t="s">
        <v>385</v>
      </c>
      <c r="M92" s="203"/>
      <c r="N92" s="203" t="e">
        <f>ROUND(N91*L92,2)</f>
        <v>#VALUE!</v>
      </c>
      <c r="O92" s="203"/>
      <c r="P92" s="231" t="e">
        <f>N92</f>
        <v>#VALUE!</v>
      </c>
    </row>
    <row r="93" spans="1:17">
      <c r="A93" s="70"/>
      <c r="B93" s="70"/>
      <c r="C93" s="70"/>
      <c r="J93" s="71"/>
      <c r="K93" s="71"/>
      <c r="L93" s="71" t="s">
        <v>79</v>
      </c>
      <c r="M93" s="232">
        <f>M92+M91</f>
        <v>0</v>
      </c>
      <c r="N93" s="232" t="e">
        <f>N92+N91</f>
        <v>#VALUE!</v>
      </c>
      <c r="O93" s="232">
        <f>O92+O91</f>
        <v>0</v>
      </c>
      <c r="P93" s="233" t="e">
        <f>P92+P91</f>
        <v>#VALUE!</v>
      </c>
    </row>
    <row r="94" spans="1:17">
      <c r="N94" s="44"/>
      <c r="O94" s="44"/>
      <c r="P94" s="92"/>
    </row>
    <row r="95" spans="1:17" s="23" customFormat="1">
      <c r="A95" s="72"/>
      <c r="B95" s="73"/>
      <c r="C95" s="72"/>
      <c r="D95" s="72"/>
      <c r="E95" s="74"/>
      <c r="F95" s="75"/>
      <c r="G95" s="75"/>
      <c r="H95" s="75"/>
      <c r="Q95" s="80"/>
    </row>
    <row r="96" spans="1:17" s="23" customFormat="1">
      <c r="A96" s="76"/>
      <c r="B96" s="77"/>
      <c r="C96" s="78"/>
      <c r="P96" s="94"/>
    </row>
    <row r="97" spans="2:14" s="23" customFormat="1">
      <c r="B97" s="78" t="s">
        <v>27</v>
      </c>
      <c r="C97" s="79"/>
      <c r="D97" s="55">
        <f>(Kopsavilkums!E34)</f>
        <v>0</v>
      </c>
      <c r="E97" s="80"/>
      <c r="J97" s="23" t="s">
        <v>28</v>
      </c>
      <c r="K97" s="81"/>
      <c r="L97" s="81"/>
      <c r="M97" s="81"/>
      <c r="N97" s="55">
        <f>(Kopsavilkums!E39)</f>
        <v>0</v>
      </c>
    </row>
    <row r="98" spans="2:14" s="23" customFormat="1">
      <c r="C98" s="75" t="s">
        <v>29</v>
      </c>
      <c r="D98" s="82"/>
      <c r="L98" s="78" t="s">
        <v>29</v>
      </c>
      <c r="N98" s="55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ignoredErrors>
    <ignoredError sqref="K25 K21" formula="1"/>
    <ignoredError sqref="A87:A8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1"/>
  <sheetViews>
    <sheetView topLeftCell="A13" workbookViewId="0">
      <selection activeCell="S29" sqref="S28:S29"/>
    </sheetView>
  </sheetViews>
  <sheetFormatPr defaultRowHeight="12.75"/>
  <cols>
    <col min="1" max="1" width="3.28515625" style="67" customWidth="1"/>
    <col min="2" max="2" width="7.42578125" style="67" customWidth="1"/>
    <col min="3" max="3" width="57.42578125" style="35" customWidth="1"/>
    <col min="4" max="4" width="5.140625" style="36" customWidth="1"/>
    <col min="5" max="5" width="6.85546875" style="37" customWidth="1"/>
    <col min="6" max="6" width="5.42578125" style="36" customWidth="1"/>
    <col min="7" max="7" width="6" style="36" customWidth="1"/>
    <col min="8" max="8" width="6.2851562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16">
      <c r="A1" s="481" t="s">
        <v>93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16">
      <c r="A2" s="482" t="s">
        <v>84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H7" s="196"/>
      <c r="I7" s="24"/>
      <c r="J7" s="24"/>
      <c r="K7" s="24"/>
      <c r="L7" s="24"/>
      <c r="M7" s="24"/>
      <c r="N7" s="24"/>
      <c r="O7" s="24"/>
      <c r="P7" s="24"/>
    </row>
    <row r="8" spans="1:16">
      <c r="A8" s="34"/>
      <c r="B8" s="34"/>
      <c r="F8" s="38"/>
      <c r="K8" s="24"/>
      <c r="L8" s="32" t="s">
        <v>76</v>
      </c>
      <c r="M8" s="24"/>
      <c r="N8" s="483" t="e">
        <f>P50</f>
        <v>#VALUE!</v>
      </c>
      <c r="O8" s="483"/>
      <c r="P8" s="24"/>
    </row>
    <row r="9" spans="1:16">
      <c r="A9" s="34"/>
      <c r="B9" s="34"/>
      <c r="F9" s="38"/>
      <c r="L9" s="40" t="str">
        <f>Kopsavilkums!E10</f>
        <v>Tāme sastādīta: 2017. gada .........</v>
      </c>
      <c r="M9" s="41"/>
      <c r="N9" s="39"/>
      <c r="O9" s="41"/>
      <c r="P9" s="41"/>
    </row>
    <row r="10" spans="1:16">
      <c r="A10" s="42"/>
      <c r="B10" s="42"/>
      <c r="C10" s="43"/>
      <c r="L10" s="24"/>
      <c r="M10" s="24"/>
      <c r="N10" s="24"/>
      <c r="O10" s="24"/>
    </row>
    <row r="11" spans="1:16" s="33" customFormat="1" ht="6" customHeight="1" thickBot="1">
      <c r="A11" s="488" t="s">
        <v>17</v>
      </c>
      <c r="B11" s="491" t="s">
        <v>11</v>
      </c>
      <c r="C11" s="470" t="s">
        <v>12</v>
      </c>
      <c r="D11" s="473" t="s">
        <v>18</v>
      </c>
      <c r="E11" s="476" t="s">
        <v>19</v>
      </c>
      <c r="F11" s="479" t="s">
        <v>13</v>
      </c>
      <c r="G11" s="479"/>
      <c r="H11" s="479"/>
      <c r="I11" s="479"/>
      <c r="J11" s="479"/>
      <c r="K11" s="479"/>
      <c r="L11" s="484" t="s">
        <v>14</v>
      </c>
      <c r="M11" s="484"/>
      <c r="N11" s="484"/>
      <c r="O11" s="484"/>
      <c r="P11" s="485"/>
    </row>
    <row r="12" spans="1:16" s="33" customFormat="1" ht="6.75" customHeight="1" thickBot="1">
      <c r="A12" s="489"/>
      <c r="B12" s="492"/>
      <c r="C12" s="471"/>
      <c r="D12" s="474"/>
      <c r="E12" s="477"/>
      <c r="F12" s="480"/>
      <c r="G12" s="480"/>
      <c r="H12" s="480"/>
      <c r="I12" s="480"/>
      <c r="J12" s="480"/>
      <c r="K12" s="480"/>
      <c r="L12" s="486" t="s">
        <v>20</v>
      </c>
      <c r="M12" s="486"/>
      <c r="N12" s="486" t="s">
        <v>21</v>
      </c>
      <c r="O12" s="486"/>
      <c r="P12" s="487" t="s">
        <v>22</v>
      </c>
    </row>
    <row r="13" spans="1:16" s="33" customFormat="1" ht="44.25" customHeight="1">
      <c r="A13" s="490"/>
      <c r="B13" s="493"/>
      <c r="C13" s="472"/>
      <c r="D13" s="475"/>
      <c r="E13" s="478"/>
      <c r="F13" s="97" t="s">
        <v>23</v>
      </c>
      <c r="G13" s="97" t="s">
        <v>70</v>
      </c>
      <c r="H13" s="97" t="s">
        <v>71</v>
      </c>
      <c r="I13" s="97" t="s">
        <v>72</v>
      </c>
      <c r="J13" s="98" t="s">
        <v>73</v>
      </c>
      <c r="K13" s="98" t="s">
        <v>74</v>
      </c>
      <c r="L13" s="99" t="s">
        <v>24</v>
      </c>
      <c r="M13" s="97" t="s">
        <v>71</v>
      </c>
      <c r="N13" s="97" t="s">
        <v>72</v>
      </c>
      <c r="O13" s="98" t="s">
        <v>73</v>
      </c>
      <c r="P13" s="100" t="s">
        <v>75</v>
      </c>
    </row>
    <row r="14" spans="1:16" s="33" customFormat="1">
      <c r="A14" s="96" t="s">
        <v>68</v>
      </c>
      <c r="B14" s="96" t="s">
        <v>69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 s="33" customFormat="1">
      <c r="A15" s="46"/>
      <c r="B15" s="7"/>
      <c r="C15" s="45"/>
      <c r="D15" s="48"/>
      <c r="E15" s="49"/>
      <c r="F15" s="52"/>
      <c r="G15" s="50"/>
      <c r="H15" s="51"/>
      <c r="I15" s="51"/>
      <c r="J15" s="51"/>
      <c r="K15" s="51"/>
      <c r="L15" s="50"/>
      <c r="M15" s="51"/>
      <c r="N15" s="51"/>
      <c r="O15" s="51"/>
      <c r="P15" s="51"/>
    </row>
    <row r="16" spans="1:16" s="33" customFormat="1" ht="15.75">
      <c r="A16" s="46">
        <v>1</v>
      </c>
      <c r="B16" s="7" t="s">
        <v>54</v>
      </c>
      <c r="C16" s="47" t="s">
        <v>60</v>
      </c>
      <c r="D16" s="48" t="s">
        <v>44</v>
      </c>
      <c r="E16" s="49">
        <v>148.94999999999999</v>
      </c>
      <c r="F16" s="227"/>
      <c r="G16" s="246"/>
      <c r="H16" s="229">
        <f t="shared" ref="H16:H21" si="1">ROUND(G16*F16,2)</f>
        <v>0</v>
      </c>
      <c r="I16" s="229"/>
      <c r="J16" s="229"/>
      <c r="K16" s="229">
        <f t="shared" ref="K16:K20" si="2">H16+I16+J16</f>
        <v>0</v>
      </c>
      <c r="L16" s="229">
        <f t="shared" ref="L16:L20" si="3">ROUND(E16*F16,2)</f>
        <v>0</v>
      </c>
      <c r="M16" s="229">
        <f t="shared" ref="M16:M20" si="4">ROUND(E16*H16,2)</f>
        <v>0</v>
      </c>
      <c r="N16" s="229"/>
      <c r="O16" s="229">
        <f t="shared" ref="O16:O20" si="5">ROUND(E16*J16,2)</f>
        <v>0</v>
      </c>
      <c r="P16" s="229">
        <f t="shared" ref="P16:P27" si="6">O16+N16+M16</f>
        <v>0</v>
      </c>
    </row>
    <row r="17" spans="1:16" s="33" customFormat="1" ht="25.5">
      <c r="A17" s="46">
        <v>2</v>
      </c>
      <c r="B17" s="7" t="s">
        <v>54</v>
      </c>
      <c r="C17" s="47" t="s">
        <v>85</v>
      </c>
      <c r="D17" s="48" t="s">
        <v>44</v>
      </c>
      <c r="E17" s="49">
        <v>200</v>
      </c>
      <c r="F17" s="227"/>
      <c r="G17" s="246"/>
      <c r="H17" s="229">
        <f t="shared" si="1"/>
        <v>0</v>
      </c>
      <c r="I17" s="229"/>
      <c r="J17" s="229"/>
      <c r="K17" s="229">
        <f t="shared" si="2"/>
        <v>0</v>
      </c>
      <c r="L17" s="229">
        <f t="shared" si="3"/>
        <v>0</v>
      </c>
      <c r="M17" s="229">
        <f t="shared" si="4"/>
        <v>0</v>
      </c>
      <c r="N17" s="229"/>
      <c r="O17" s="229">
        <f t="shared" si="5"/>
        <v>0</v>
      </c>
      <c r="P17" s="229">
        <f>O17+N17+M17</f>
        <v>0</v>
      </c>
    </row>
    <row r="18" spans="1:16" s="33" customFormat="1" ht="15.75">
      <c r="A18" s="46">
        <f t="shared" ref="A18:A21" si="7">A17+1</f>
        <v>3</v>
      </c>
      <c r="B18" s="7" t="s">
        <v>39</v>
      </c>
      <c r="C18" s="47" t="s">
        <v>61</v>
      </c>
      <c r="D18" s="48" t="s">
        <v>45</v>
      </c>
      <c r="E18" s="49">
        <v>200</v>
      </c>
      <c r="F18" s="234"/>
      <c r="G18" s="246"/>
      <c r="H18" s="229">
        <f t="shared" si="1"/>
        <v>0</v>
      </c>
      <c r="I18" s="229"/>
      <c r="J18" s="229"/>
      <c r="K18" s="229">
        <f t="shared" si="2"/>
        <v>0</v>
      </c>
      <c r="L18" s="229">
        <f t="shared" si="3"/>
        <v>0</v>
      </c>
      <c r="M18" s="229">
        <f t="shared" si="4"/>
        <v>0</v>
      </c>
      <c r="N18" s="229"/>
      <c r="O18" s="229">
        <f t="shared" si="5"/>
        <v>0</v>
      </c>
      <c r="P18" s="229">
        <f t="shared" si="6"/>
        <v>0</v>
      </c>
    </row>
    <row r="19" spans="1:16" s="33" customFormat="1" ht="15.75">
      <c r="A19" s="46">
        <f t="shared" si="7"/>
        <v>4</v>
      </c>
      <c r="B19" s="7" t="s">
        <v>39</v>
      </c>
      <c r="C19" s="47" t="s">
        <v>86</v>
      </c>
      <c r="D19" s="48" t="s">
        <v>44</v>
      </c>
      <c r="E19" s="49">
        <v>407.88</v>
      </c>
      <c r="F19" s="234"/>
      <c r="G19" s="246"/>
      <c r="H19" s="229">
        <f t="shared" si="1"/>
        <v>0</v>
      </c>
      <c r="I19" s="229"/>
      <c r="J19" s="229"/>
      <c r="K19" s="229">
        <f t="shared" si="2"/>
        <v>0</v>
      </c>
      <c r="L19" s="229">
        <f t="shared" si="3"/>
        <v>0</v>
      </c>
      <c r="M19" s="229">
        <f t="shared" si="4"/>
        <v>0</v>
      </c>
      <c r="N19" s="229"/>
      <c r="O19" s="229">
        <f t="shared" si="5"/>
        <v>0</v>
      </c>
      <c r="P19" s="229">
        <f t="shared" si="6"/>
        <v>0</v>
      </c>
    </row>
    <row r="20" spans="1:16" s="33" customFormat="1" ht="25.5">
      <c r="A20" s="46">
        <f t="shared" si="7"/>
        <v>5</v>
      </c>
      <c r="B20" s="7" t="s">
        <v>39</v>
      </c>
      <c r="C20" s="47" t="s">
        <v>87</v>
      </c>
      <c r="D20" s="48" t="s">
        <v>44</v>
      </c>
      <c r="E20" s="49">
        <f>E19</f>
        <v>407.88</v>
      </c>
      <c r="F20" s="234"/>
      <c r="G20" s="246"/>
      <c r="H20" s="229">
        <f t="shared" si="1"/>
        <v>0</v>
      </c>
      <c r="I20" s="229"/>
      <c r="J20" s="229"/>
      <c r="K20" s="229">
        <f t="shared" si="2"/>
        <v>0</v>
      </c>
      <c r="L20" s="229">
        <f t="shared" si="3"/>
        <v>0</v>
      </c>
      <c r="M20" s="229">
        <f t="shared" si="4"/>
        <v>0</v>
      </c>
      <c r="N20" s="229">
        <f t="shared" ref="N20" si="8">ROUND(E20*I20,2)</f>
        <v>0</v>
      </c>
      <c r="O20" s="229">
        <f t="shared" si="5"/>
        <v>0</v>
      </c>
      <c r="P20" s="229">
        <f t="shared" si="6"/>
        <v>0</v>
      </c>
    </row>
    <row r="21" spans="1:16" s="23" customFormat="1" ht="25.5">
      <c r="A21" s="327">
        <f t="shared" si="7"/>
        <v>6</v>
      </c>
      <c r="B21" s="321" t="s">
        <v>38</v>
      </c>
      <c r="C21" s="328" t="s">
        <v>88</v>
      </c>
      <c r="D21" s="329" t="s">
        <v>42</v>
      </c>
      <c r="E21" s="324">
        <f>E19</f>
        <v>407.88</v>
      </c>
      <c r="F21" s="324"/>
      <c r="G21" s="319"/>
      <c r="H21" s="324">
        <f t="shared" si="1"/>
        <v>0</v>
      </c>
      <c r="I21" s="324"/>
      <c r="J21" s="324"/>
      <c r="K21" s="324">
        <f t="shared" ref="K21:K33" si="9">J21+I21+H21</f>
        <v>0</v>
      </c>
      <c r="L21" s="324">
        <f t="shared" ref="L21:L31" si="10">ROUND(F21*E21,2)</f>
        <v>0</v>
      </c>
      <c r="M21" s="324">
        <f t="shared" ref="M21:M31" si="11">ROUND(H21*E21,2)</f>
        <v>0</v>
      </c>
      <c r="N21" s="324"/>
      <c r="O21" s="324">
        <f t="shared" ref="O21:O31" si="12">ROUND(J21*E21,2)</f>
        <v>0</v>
      </c>
      <c r="P21" s="324">
        <f t="shared" si="6"/>
        <v>0</v>
      </c>
    </row>
    <row r="22" spans="1:16" s="23" customFormat="1" ht="15.75">
      <c r="A22" s="329"/>
      <c r="B22" s="330"/>
      <c r="C22" s="328" t="s">
        <v>344</v>
      </c>
      <c r="D22" s="329" t="s">
        <v>42</v>
      </c>
      <c r="E22" s="324">
        <f>E21*1.1</f>
        <v>448.67</v>
      </c>
      <c r="F22" s="324"/>
      <c r="G22" s="324"/>
      <c r="H22" s="324"/>
      <c r="I22" s="324"/>
      <c r="J22" s="324"/>
      <c r="K22" s="324">
        <f t="shared" si="9"/>
        <v>0</v>
      </c>
      <c r="L22" s="324"/>
      <c r="M22" s="324"/>
      <c r="N22" s="324">
        <f t="shared" ref="N22:N33" si="13">ROUND(I22*E22,2)</f>
        <v>0</v>
      </c>
      <c r="O22" s="324"/>
      <c r="P22" s="324">
        <f t="shared" si="6"/>
        <v>0</v>
      </c>
    </row>
    <row r="23" spans="1:16" s="23" customFormat="1">
      <c r="A23" s="329"/>
      <c r="B23" s="330"/>
      <c r="C23" s="328" t="s">
        <v>89</v>
      </c>
      <c r="D23" s="329" t="s">
        <v>35</v>
      </c>
      <c r="E23" s="331">
        <f>ROUND(E21*3,0)</f>
        <v>1224</v>
      </c>
      <c r="F23" s="324"/>
      <c r="G23" s="324"/>
      <c r="H23" s="324"/>
      <c r="I23" s="324"/>
      <c r="J23" s="324"/>
      <c r="K23" s="324">
        <f t="shared" si="9"/>
        <v>0</v>
      </c>
      <c r="L23" s="324"/>
      <c r="M23" s="324"/>
      <c r="N23" s="324">
        <f t="shared" si="13"/>
        <v>0</v>
      </c>
      <c r="O23" s="324"/>
      <c r="P23" s="324">
        <f t="shared" si="6"/>
        <v>0</v>
      </c>
    </row>
    <row r="24" spans="1:16" s="23" customFormat="1" ht="15.75">
      <c r="A24" s="332">
        <v>7</v>
      </c>
      <c r="B24" s="321" t="s">
        <v>67</v>
      </c>
      <c r="C24" s="328" t="s">
        <v>122</v>
      </c>
      <c r="D24" s="329" t="s">
        <v>42</v>
      </c>
      <c r="E24" s="333">
        <v>212.28</v>
      </c>
      <c r="F24" s="324"/>
      <c r="G24" s="319"/>
      <c r="H24" s="324">
        <f>ROUND(G24*F24,2)</f>
        <v>0</v>
      </c>
      <c r="I24" s="324"/>
      <c r="J24" s="319"/>
      <c r="K24" s="324">
        <f t="shared" si="9"/>
        <v>0</v>
      </c>
      <c r="L24" s="324">
        <f t="shared" si="10"/>
        <v>0</v>
      </c>
      <c r="M24" s="324">
        <f t="shared" si="11"/>
        <v>0</v>
      </c>
      <c r="N24" s="324"/>
      <c r="O24" s="324">
        <f t="shared" si="12"/>
        <v>0</v>
      </c>
      <c r="P24" s="324">
        <f t="shared" si="6"/>
        <v>0</v>
      </c>
    </row>
    <row r="25" spans="1:16" s="23" customFormat="1" ht="15.75">
      <c r="A25" s="329"/>
      <c r="B25" s="330"/>
      <c r="C25" s="334" t="s">
        <v>32</v>
      </c>
      <c r="D25" s="329" t="s">
        <v>43</v>
      </c>
      <c r="E25" s="324">
        <f>E24*1.15</f>
        <v>244.12</v>
      </c>
      <c r="F25" s="324"/>
      <c r="G25" s="324"/>
      <c r="H25" s="324"/>
      <c r="I25" s="324"/>
      <c r="J25" s="324"/>
      <c r="K25" s="324">
        <f t="shared" si="9"/>
        <v>0</v>
      </c>
      <c r="L25" s="324"/>
      <c r="M25" s="324"/>
      <c r="N25" s="324">
        <f t="shared" si="13"/>
        <v>0</v>
      </c>
      <c r="O25" s="324"/>
      <c r="P25" s="324">
        <f t="shared" si="6"/>
        <v>0</v>
      </c>
    </row>
    <row r="26" spans="1:16" s="23" customFormat="1">
      <c r="A26" s="329"/>
      <c r="B26" s="330"/>
      <c r="C26" s="334" t="s">
        <v>31</v>
      </c>
      <c r="D26" s="329" t="s">
        <v>35</v>
      </c>
      <c r="E26" s="327">
        <f>SUM(E24)*6</f>
        <v>1274</v>
      </c>
      <c r="F26" s="324"/>
      <c r="G26" s="324"/>
      <c r="H26" s="324"/>
      <c r="I26" s="324"/>
      <c r="J26" s="324"/>
      <c r="K26" s="324">
        <f t="shared" si="9"/>
        <v>0</v>
      </c>
      <c r="L26" s="324"/>
      <c r="M26" s="324"/>
      <c r="N26" s="324">
        <f t="shared" si="13"/>
        <v>0</v>
      </c>
      <c r="O26" s="324"/>
      <c r="P26" s="324">
        <f t="shared" si="6"/>
        <v>0</v>
      </c>
    </row>
    <row r="27" spans="1:16" s="23" customFormat="1">
      <c r="A27" s="329"/>
      <c r="B27" s="330"/>
      <c r="C27" s="334" t="s">
        <v>146</v>
      </c>
      <c r="D27" s="329" t="s">
        <v>37</v>
      </c>
      <c r="E27" s="324">
        <v>25</v>
      </c>
      <c r="F27" s="324"/>
      <c r="G27" s="324"/>
      <c r="H27" s="324"/>
      <c r="I27" s="324"/>
      <c r="J27" s="324"/>
      <c r="K27" s="324">
        <f t="shared" si="9"/>
        <v>0</v>
      </c>
      <c r="L27" s="324"/>
      <c r="M27" s="324"/>
      <c r="N27" s="324">
        <f t="shared" si="13"/>
        <v>0</v>
      </c>
      <c r="O27" s="324"/>
      <c r="P27" s="324">
        <f t="shared" si="6"/>
        <v>0</v>
      </c>
    </row>
    <row r="28" spans="1:16" s="105" customFormat="1" ht="15.75">
      <c r="A28" s="335">
        <f>A24+1</f>
        <v>8</v>
      </c>
      <c r="B28" s="321" t="s">
        <v>67</v>
      </c>
      <c r="C28" s="322" t="s">
        <v>123</v>
      </c>
      <c r="D28" s="336" t="s">
        <v>77</v>
      </c>
      <c r="E28" s="337">
        <f>E24</f>
        <v>212.28</v>
      </c>
      <c r="F28" s="337"/>
      <c r="G28" s="319"/>
      <c r="H28" s="324">
        <f>ROUND(G28*F28,2)</f>
        <v>0</v>
      </c>
      <c r="I28" s="319"/>
      <c r="J28" s="319"/>
      <c r="K28" s="319">
        <f t="shared" si="9"/>
        <v>0</v>
      </c>
      <c r="L28" s="319">
        <f t="shared" si="10"/>
        <v>0</v>
      </c>
      <c r="M28" s="319">
        <f t="shared" si="11"/>
        <v>0</v>
      </c>
      <c r="N28" s="319"/>
      <c r="O28" s="319">
        <f t="shared" si="12"/>
        <v>0</v>
      </c>
      <c r="P28" s="319">
        <f t="shared" ref="P28:P47" si="14">O28+N28+M28</f>
        <v>0</v>
      </c>
    </row>
    <row r="29" spans="1:16" s="105" customFormat="1">
      <c r="A29" s="336"/>
      <c r="B29" s="321"/>
      <c r="C29" s="334" t="s">
        <v>65</v>
      </c>
      <c r="D29" s="336" t="s">
        <v>35</v>
      </c>
      <c r="E29" s="335">
        <f>E28*0.18</f>
        <v>38</v>
      </c>
      <c r="F29" s="337"/>
      <c r="G29" s="319"/>
      <c r="H29" s="319"/>
      <c r="I29" s="324"/>
      <c r="J29" s="319"/>
      <c r="K29" s="319">
        <f t="shared" si="9"/>
        <v>0</v>
      </c>
      <c r="L29" s="319"/>
      <c r="M29" s="319"/>
      <c r="N29" s="319">
        <f t="shared" si="13"/>
        <v>0</v>
      </c>
      <c r="O29" s="319"/>
      <c r="P29" s="319">
        <f t="shared" si="14"/>
        <v>0</v>
      </c>
    </row>
    <row r="30" spans="1:16" s="105" customFormat="1">
      <c r="A30" s="336"/>
      <c r="B30" s="321"/>
      <c r="C30" s="334" t="s">
        <v>48</v>
      </c>
      <c r="D30" s="336" t="s">
        <v>35</v>
      </c>
      <c r="E30" s="335">
        <f>E28*1.8*2.5</f>
        <v>955</v>
      </c>
      <c r="F30" s="337"/>
      <c r="G30" s="319"/>
      <c r="H30" s="319"/>
      <c r="I30" s="324"/>
      <c r="J30" s="319"/>
      <c r="K30" s="319">
        <f t="shared" si="9"/>
        <v>0</v>
      </c>
      <c r="L30" s="319"/>
      <c r="M30" s="319"/>
      <c r="N30" s="319">
        <f t="shared" si="13"/>
        <v>0</v>
      </c>
      <c r="O30" s="319"/>
      <c r="P30" s="319">
        <f t="shared" si="14"/>
        <v>0</v>
      </c>
    </row>
    <row r="31" spans="1:16" s="105" customFormat="1" ht="15.75">
      <c r="A31" s="336">
        <f>A28+1</f>
        <v>9</v>
      </c>
      <c r="B31" s="321" t="s">
        <v>67</v>
      </c>
      <c r="C31" s="322" t="s">
        <v>124</v>
      </c>
      <c r="D31" s="336" t="s">
        <v>77</v>
      </c>
      <c r="E31" s="337">
        <f>E28</f>
        <v>212.28</v>
      </c>
      <c r="F31" s="337"/>
      <c r="G31" s="319"/>
      <c r="H31" s="324">
        <f>ROUND(G31*F31,2)</f>
        <v>0</v>
      </c>
      <c r="I31" s="319"/>
      <c r="J31" s="319"/>
      <c r="K31" s="319">
        <f t="shared" si="9"/>
        <v>0</v>
      </c>
      <c r="L31" s="319">
        <f t="shared" si="10"/>
        <v>0</v>
      </c>
      <c r="M31" s="319">
        <f t="shared" si="11"/>
        <v>0</v>
      </c>
      <c r="N31" s="319"/>
      <c r="O31" s="319">
        <f t="shared" si="12"/>
        <v>0</v>
      </c>
      <c r="P31" s="319">
        <f t="shared" si="14"/>
        <v>0</v>
      </c>
    </row>
    <row r="32" spans="1:16" s="105" customFormat="1">
      <c r="A32" s="336"/>
      <c r="B32" s="321"/>
      <c r="C32" s="334" t="s">
        <v>50</v>
      </c>
      <c r="D32" s="336" t="s">
        <v>35</v>
      </c>
      <c r="E32" s="335">
        <f>E31*0.18</f>
        <v>38</v>
      </c>
      <c r="F32" s="337"/>
      <c r="G32" s="319"/>
      <c r="H32" s="319"/>
      <c r="I32" s="324"/>
      <c r="J32" s="319"/>
      <c r="K32" s="319">
        <f t="shared" si="9"/>
        <v>0</v>
      </c>
      <c r="L32" s="319"/>
      <c r="M32" s="319"/>
      <c r="N32" s="319">
        <f t="shared" si="13"/>
        <v>0</v>
      </c>
      <c r="O32" s="319"/>
      <c r="P32" s="319">
        <f t="shared" si="14"/>
        <v>0</v>
      </c>
    </row>
    <row r="33" spans="1:16" s="105" customFormat="1">
      <c r="A33" s="336"/>
      <c r="B33" s="321"/>
      <c r="C33" s="334" t="s">
        <v>178</v>
      </c>
      <c r="D33" s="336" t="s">
        <v>35</v>
      </c>
      <c r="E33" s="335">
        <f>E31*0.3</f>
        <v>64</v>
      </c>
      <c r="F33" s="337"/>
      <c r="G33" s="319"/>
      <c r="H33" s="319"/>
      <c r="I33" s="324"/>
      <c r="J33" s="319"/>
      <c r="K33" s="319">
        <f t="shared" si="9"/>
        <v>0</v>
      </c>
      <c r="L33" s="319"/>
      <c r="M33" s="319"/>
      <c r="N33" s="319">
        <f t="shared" si="13"/>
        <v>0</v>
      </c>
      <c r="O33" s="319"/>
      <c r="P33" s="319">
        <f t="shared" si="14"/>
        <v>0</v>
      </c>
    </row>
    <row r="34" spans="1:16" s="23" customFormat="1" ht="25.5">
      <c r="A34" s="327">
        <v>10</v>
      </c>
      <c r="B34" s="330" t="s">
        <v>39</v>
      </c>
      <c r="C34" s="328" t="s">
        <v>91</v>
      </c>
      <c r="D34" s="323" t="s">
        <v>46</v>
      </c>
      <c r="E34" s="324">
        <f>E18</f>
        <v>200</v>
      </c>
      <c r="F34" s="324"/>
      <c r="G34" s="319"/>
      <c r="H34" s="324">
        <f>ROUND(G34*F34,2)</f>
        <v>0</v>
      </c>
      <c r="I34" s="324"/>
      <c r="J34" s="319"/>
      <c r="K34" s="324">
        <f t="shared" ref="K34:K47" si="15">J34+I34+H34</f>
        <v>0</v>
      </c>
      <c r="L34" s="324">
        <f t="shared" ref="L34:L47" si="16">ROUND(F34*E34,2)</f>
        <v>0</v>
      </c>
      <c r="M34" s="324">
        <f t="shared" ref="M34:M47" si="17">ROUND(H34*E34,2)</f>
        <v>0</v>
      </c>
      <c r="N34" s="324"/>
      <c r="O34" s="324">
        <f t="shared" ref="O34:O47" si="18">ROUND(J34*E34,2)</f>
        <v>0</v>
      </c>
      <c r="P34" s="324">
        <f t="shared" si="14"/>
        <v>0</v>
      </c>
    </row>
    <row r="35" spans="1:16" s="23" customFormat="1" ht="15.75">
      <c r="A35" s="327"/>
      <c r="B35" s="330"/>
      <c r="C35" s="328" t="s">
        <v>90</v>
      </c>
      <c r="D35" s="323" t="s">
        <v>46</v>
      </c>
      <c r="E35" s="324">
        <f>E34/2*1.25</f>
        <v>125</v>
      </c>
      <c r="F35" s="324"/>
      <c r="G35" s="324"/>
      <c r="H35" s="324"/>
      <c r="I35" s="324"/>
      <c r="J35" s="319"/>
      <c r="K35" s="324">
        <f t="shared" si="15"/>
        <v>0</v>
      </c>
      <c r="L35" s="324"/>
      <c r="M35" s="324"/>
      <c r="N35" s="324">
        <f t="shared" ref="N35:N47" si="19">ROUND(I35*E35,2)</f>
        <v>0</v>
      </c>
      <c r="O35" s="324"/>
      <c r="P35" s="324">
        <f t="shared" si="14"/>
        <v>0</v>
      </c>
    </row>
    <row r="36" spans="1:16" s="33" customFormat="1" ht="15.75">
      <c r="A36" s="332">
        <v>11</v>
      </c>
      <c r="B36" s="330" t="s">
        <v>39</v>
      </c>
      <c r="C36" s="338" t="s">
        <v>92</v>
      </c>
      <c r="D36" s="323" t="s">
        <v>45</v>
      </c>
      <c r="E36" s="333">
        <f>E35</f>
        <v>125</v>
      </c>
      <c r="F36" s="339"/>
      <c r="G36" s="319"/>
      <c r="H36" s="319">
        <f>ROUND(G36*F36,2)</f>
        <v>0</v>
      </c>
      <c r="I36" s="319"/>
      <c r="J36" s="319"/>
      <c r="K36" s="324">
        <f t="shared" si="15"/>
        <v>0</v>
      </c>
      <c r="L36" s="324">
        <f t="shared" si="16"/>
        <v>0</v>
      </c>
      <c r="M36" s="324">
        <f t="shared" si="17"/>
        <v>0</v>
      </c>
      <c r="N36" s="324"/>
      <c r="O36" s="324">
        <f t="shared" si="18"/>
        <v>0</v>
      </c>
      <c r="P36" s="324">
        <f t="shared" si="14"/>
        <v>0</v>
      </c>
    </row>
    <row r="37" spans="1:16" s="23" customFormat="1">
      <c r="A37" s="327">
        <v>12</v>
      </c>
      <c r="B37" s="321" t="s">
        <v>39</v>
      </c>
      <c r="C37" s="340" t="s">
        <v>179</v>
      </c>
      <c r="D37" s="341" t="s">
        <v>133</v>
      </c>
      <c r="E37" s="342">
        <f>SUM(E34)/2</f>
        <v>100</v>
      </c>
      <c r="F37" s="324"/>
      <c r="G37" s="319"/>
      <c r="H37" s="319">
        <f t="shared" ref="H37:H46" si="20">ROUND(G37*F37,2)</f>
        <v>0</v>
      </c>
      <c r="I37" s="342"/>
      <c r="J37" s="319"/>
      <c r="K37" s="319">
        <f t="shared" ref="K37:K45" si="21">J37+I37+H37</f>
        <v>0</v>
      </c>
      <c r="L37" s="319">
        <f t="shared" ref="L37:L43" si="22">ROUND(F37*E37,2)</f>
        <v>0</v>
      </c>
      <c r="M37" s="319">
        <f t="shared" ref="M37:M43" si="23">ROUND(H37*E37,2)</f>
        <v>0</v>
      </c>
      <c r="N37" s="319"/>
      <c r="O37" s="319">
        <f t="shared" ref="O37:O43" si="24">ROUND(J37*E37,2)</f>
        <v>0</v>
      </c>
      <c r="P37" s="319">
        <f t="shared" ref="P37:P45" si="25">O37+N37+M37</f>
        <v>0</v>
      </c>
    </row>
    <row r="38" spans="1:16" s="23" customFormat="1">
      <c r="A38" s="327"/>
      <c r="B38" s="321"/>
      <c r="C38" s="343" t="s">
        <v>180</v>
      </c>
      <c r="D38" s="341" t="s">
        <v>133</v>
      </c>
      <c r="E38" s="342">
        <v>130</v>
      </c>
      <c r="F38" s="324"/>
      <c r="G38" s="319"/>
      <c r="H38" s="319"/>
      <c r="I38" s="324"/>
      <c r="J38" s="319"/>
      <c r="K38" s="319">
        <f t="shared" si="21"/>
        <v>0</v>
      </c>
      <c r="L38" s="319"/>
      <c r="M38" s="319"/>
      <c r="N38" s="319">
        <f t="shared" ref="N38:N45" si="26">ROUND(I38*E38,2)</f>
        <v>0</v>
      </c>
      <c r="O38" s="319"/>
      <c r="P38" s="319">
        <f t="shared" si="25"/>
        <v>0</v>
      </c>
    </row>
    <row r="39" spans="1:16" s="23" customFormat="1">
      <c r="A39" s="327">
        <v>13</v>
      </c>
      <c r="B39" s="321" t="s">
        <v>39</v>
      </c>
      <c r="C39" s="340" t="s">
        <v>181</v>
      </c>
      <c r="D39" s="341" t="s">
        <v>131</v>
      </c>
      <c r="E39" s="342">
        <v>148.94999999999999</v>
      </c>
      <c r="F39" s="324"/>
      <c r="G39" s="319"/>
      <c r="H39" s="319">
        <f t="shared" si="20"/>
        <v>0</v>
      </c>
      <c r="I39" s="324"/>
      <c r="J39" s="319"/>
      <c r="K39" s="319">
        <f t="shared" si="21"/>
        <v>0</v>
      </c>
      <c r="L39" s="319">
        <f t="shared" si="22"/>
        <v>0</v>
      </c>
      <c r="M39" s="319">
        <f t="shared" si="23"/>
        <v>0</v>
      </c>
      <c r="N39" s="319"/>
      <c r="O39" s="319">
        <f t="shared" si="24"/>
        <v>0</v>
      </c>
      <c r="P39" s="319">
        <f t="shared" si="25"/>
        <v>0</v>
      </c>
    </row>
    <row r="40" spans="1:16" s="23" customFormat="1">
      <c r="A40" s="89"/>
      <c r="B40" s="86"/>
      <c r="C40" s="126" t="s">
        <v>182</v>
      </c>
      <c r="D40" s="155" t="s">
        <v>133</v>
      </c>
      <c r="E40" s="156">
        <v>10</v>
      </c>
      <c r="F40" s="147"/>
      <c r="G40" s="246"/>
      <c r="H40" s="229"/>
      <c r="I40" s="147"/>
      <c r="J40" s="246"/>
      <c r="K40" s="229">
        <f t="shared" si="21"/>
        <v>0</v>
      </c>
      <c r="L40" s="229"/>
      <c r="M40" s="229"/>
      <c r="N40" s="229">
        <f t="shared" si="26"/>
        <v>0</v>
      </c>
      <c r="O40" s="229"/>
      <c r="P40" s="229">
        <f t="shared" si="25"/>
        <v>0</v>
      </c>
    </row>
    <row r="41" spans="1:16" s="23" customFormat="1">
      <c r="A41" s="89"/>
      <c r="B41" s="86"/>
      <c r="C41" s="126" t="s">
        <v>183</v>
      </c>
      <c r="D41" s="155" t="s">
        <v>133</v>
      </c>
      <c r="E41" s="156">
        <v>10</v>
      </c>
      <c r="F41" s="147"/>
      <c r="G41" s="246"/>
      <c r="H41" s="229"/>
      <c r="I41" s="147"/>
      <c r="J41" s="246"/>
      <c r="K41" s="229">
        <f t="shared" si="21"/>
        <v>0</v>
      </c>
      <c r="L41" s="229"/>
      <c r="M41" s="229"/>
      <c r="N41" s="229">
        <f t="shared" si="26"/>
        <v>0</v>
      </c>
      <c r="O41" s="229"/>
      <c r="P41" s="229">
        <f t="shared" si="25"/>
        <v>0</v>
      </c>
    </row>
    <row r="42" spans="1:16" s="23" customFormat="1">
      <c r="A42" s="89">
        <v>14</v>
      </c>
      <c r="B42" s="86" t="s">
        <v>187</v>
      </c>
      <c r="C42" s="157" t="s">
        <v>184</v>
      </c>
      <c r="D42" s="155" t="s">
        <v>37</v>
      </c>
      <c r="E42" s="149">
        <v>210</v>
      </c>
      <c r="F42" s="147"/>
      <c r="G42" s="246"/>
      <c r="H42" s="229">
        <f t="shared" si="20"/>
        <v>0</v>
      </c>
      <c r="I42" s="149"/>
      <c r="J42" s="246"/>
      <c r="K42" s="229">
        <f t="shared" si="21"/>
        <v>0</v>
      </c>
      <c r="L42" s="229">
        <f t="shared" si="22"/>
        <v>0</v>
      </c>
      <c r="M42" s="229">
        <f t="shared" si="23"/>
        <v>0</v>
      </c>
      <c r="N42" s="229">
        <f t="shared" si="26"/>
        <v>0</v>
      </c>
      <c r="O42" s="229">
        <f t="shared" si="24"/>
        <v>0</v>
      </c>
      <c r="P42" s="229">
        <f t="shared" si="25"/>
        <v>0</v>
      </c>
    </row>
    <row r="43" spans="1:16" s="23" customFormat="1">
      <c r="A43" s="89">
        <v>15</v>
      </c>
      <c r="B43" s="86" t="s">
        <v>187</v>
      </c>
      <c r="C43" s="157" t="s">
        <v>185</v>
      </c>
      <c r="D43" s="155" t="s">
        <v>131</v>
      </c>
      <c r="E43" s="149">
        <v>148.94999999999999</v>
      </c>
      <c r="F43" s="147"/>
      <c r="G43" s="246"/>
      <c r="H43" s="229">
        <f t="shared" si="20"/>
        <v>0</v>
      </c>
      <c r="I43" s="149"/>
      <c r="J43" s="246"/>
      <c r="K43" s="229">
        <f t="shared" si="21"/>
        <v>0</v>
      </c>
      <c r="L43" s="229">
        <f t="shared" si="22"/>
        <v>0</v>
      </c>
      <c r="M43" s="229">
        <f t="shared" si="23"/>
        <v>0</v>
      </c>
      <c r="N43" s="229"/>
      <c r="O43" s="229">
        <f t="shared" si="24"/>
        <v>0</v>
      </c>
      <c r="P43" s="229">
        <f t="shared" si="25"/>
        <v>0</v>
      </c>
    </row>
    <row r="44" spans="1:16" s="23" customFormat="1">
      <c r="A44" s="89"/>
      <c r="B44" s="86"/>
      <c r="C44" s="126" t="s">
        <v>186</v>
      </c>
      <c r="D44" s="155" t="s">
        <v>131</v>
      </c>
      <c r="E44" s="149">
        <f>SUM(E43)*1.1</f>
        <v>163.85</v>
      </c>
      <c r="F44" s="147"/>
      <c r="G44" s="246"/>
      <c r="H44" s="229"/>
      <c r="I44" s="156"/>
      <c r="J44" s="246"/>
      <c r="K44" s="229">
        <f t="shared" si="21"/>
        <v>0</v>
      </c>
      <c r="L44" s="229"/>
      <c r="M44" s="229"/>
      <c r="N44" s="229">
        <f t="shared" si="26"/>
        <v>0</v>
      </c>
      <c r="O44" s="229"/>
      <c r="P44" s="229">
        <f t="shared" si="25"/>
        <v>0</v>
      </c>
    </row>
    <row r="45" spans="1:16" s="23" customFormat="1">
      <c r="A45" s="89">
        <v>16</v>
      </c>
      <c r="B45" s="86" t="s">
        <v>47</v>
      </c>
      <c r="C45" s="102" t="s">
        <v>288</v>
      </c>
      <c r="D45" s="54" t="s">
        <v>127</v>
      </c>
      <c r="E45" s="154">
        <v>2</v>
      </c>
      <c r="F45" s="154"/>
      <c r="G45" s="229"/>
      <c r="H45" s="147">
        <f>ROUND(G45*F45,2)</f>
        <v>0</v>
      </c>
      <c r="I45" s="229"/>
      <c r="J45" s="246"/>
      <c r="K45" s="229">
        <f t="shared" si="21"/>
        <v>0</v>
      </c>
      <c r="L45" s="229">
        <f t="shared" ref="L45" si="27">ROUND(F45*E45,2)</f>
        <v>0</v>
      </c>
      <c r="M45" s="229">
        <f t="shared" ref="M45" si="28">ROUND(H45*E45,2)</f>
        <v>0</v>
      </c>
      <c r="N45" s="229">
        <f t="shared" si="26"/>
        <v>0</v>
      </c>
      <c r="O45" s="229">
        <f t="shared" ref="O45" si="29">ROUND(J45*E45,2)</f>
        <v>0</v>
      </c>
      <c r="P45" s="229">
        <f t="shared" si="25"/>
        <v>0</v>
      </c>
    </row>
    <row r="46" spans="1:16" s="105" customFormat="1" ht="15.75">
      <c r="A46" s="89">
        <v>17</v>
      </c>
      <c r="B46" s="86" t="s">
        <v>47</v>
      </c>
      <c r="C46" s="102" t="s">
        <v>119</v>
      </c>
      <c r="D46" s="104" t="s">
        <v>77</v>
      </c>
      <c r="E46" s="154">
        <v>31.95</v>
      </c>
      <c r="F46" s="154"/>
      <c r="G46" s="229"/>
      <c r="H46" s="229">
        <f t="shared" si="20"/>
        <v>0</v>
      </c>
      <c r="I46" s="229"/>
      <c r="J46" s="246"/>
      <c r="K46" s="229">
        <f t="shared" si="15"/>
        <v>0</v>
      </c>
      <c r="L46" s="229">
        <f t="shared" si="16"/>
        <v>0</v>
      </c>
      <c r="M46" s="229">
        <f t="shared" si="17"/>
        <v>0</v>
      </c>
      <c r="N46" s="229">
        <f t="shared" si="19"/>
        <v>0</v>
      </c>
      <c r="O46" s="229">
        <f t="shared" si="18"/>
        <v>0</v>
      </c>
      <c r="P46" s="229">
        <f t="shared" si="14"/>
        <v>0</v>
      </c>
    </row>
    <row r="47" spans="1:16" s="105" customFormat="1" ht="16.5" thickBot="1">
      <c r="A47" s="89">
        <v>18</v>
      </c>
      <c r="B47" s="86" t="s">
        <v>47</v>
      </c>
      <c r="C47" s="102" t="s">
        <v>106</v>
      </c>
      <c r="D47" s="104" t="s">
        <v>77</v>
      </c>
      <c r="E47" s="154">
        <f>E46</f>
        <v>31.95</v>
      </c>
      <c r="F47" s="154"/>
      <c r="G47" s="229"/>
      <c r="H47" s="147">
        <f>ROUND(G47*F47,2)</f>
        <v>0</v>
      </c>
      <c r="I47" s="229"/>
      <c r="J47" s="246"/>
      <c r="K47" s="229">
        <f t="shared" si="15"/>
        <v>0</v>
      </c>
      <c r="L47" s="229">
        <f t="shared" si="16"/>
        <v>0</v>
      </c>
      <c r="M47" s="229">
        <f t="shared" si="17"/>
        <v>0</v>
      </c>
      <c r="N47" s="229">
        <f t="shared" si="19"/>
        <v>0</v>
      </c>
      <c r="O47" s="229">
        <f t="shared" si="18"/>
        <v>0</v>
      </c>
      <c r="P47" s="229">
        <f t="shared" si="14"/>
        <v>0</v>
      </c>
    </row>
    <row r="48" spans="1:16" s="66" customFormat="1" ht="13.5" thickBot="1">
      <c r="A48" s="61"/>
      <c r="B48" s="4"/>
      <c r="C48" s="62" t="s">
        <v>25</v>
      </c>
      <c r="D48" s="63"/>
      <c r="E48" s="64"/>
      <c r="F48" s="65"/>
      <c r="G48" s="65"/>
      <c r="H48" s="65"/>
      <c r="I48" s="65"/>
      <c r="J48" s="65"/>
      <c r="K48" s="65"/>
      <c r="L48" s="230">
        <f>SUM(L16:L47)</f>
        <v>0</v>
      </c>
      <c r="M48" s="230">
        <f>SUM(M16:M47)</f>
        <v>0</v>
      </c>
      <c r="N48" s="230">
        <f>SUM(N16:N47)</f>
        <v>0</v>
      </c>
      <c r="O48" s="230">
        <f>SUM(O16:O47)</f>
        <v>0</v>
      </c>
      <c r="P48" s="230">
        <f>SUM(P16:P47)</f>
        <v>0</v>
      </c>
    </row>
    <row r="49" spans="1:16">
      <c r="H49" s="24"/>
      <c r="I49" s="24"/>
      <c r="J49" s="68"/>
      <c r="K49" s="68" t="s">
        <v>26</v>
      </c>
      <c r="L49" s="69" t="s">
        <v>385</v>
      </c>
      <c r="M49" s="203"/>
      <c r="N49" s="203" t="e">
        <f>ROUND(N48*L49,2)</f>
        <v>#VALUE!</v>
      </c>
      <c r="O49" s="203"/>
      <c r="P49" s="231" t="e">
        <f>N49</f>
        <v>#VALUE!</v>
      </c>
    </row>
    <row r="50" spans="1:16">
      <c r="A50" s="70"/>
      <c r="B50" s="70"/>
      <c r="C50" s="70"/>
      <c r="J50" s="71"/>
      <c r="K50" s="71"/>
      <c r="L50" s="71" t="s">
        <v>79</v>
      </c>
      <c r="M50" s="232">
        <f>M49+M48</f>
        <v>0</v>
      </c>
      <c r="N50" s="232" t="e">
        <f>N49+N48</f>
        <v>#VALUE!</v>
      </c>
      <c r="O50" s="232">
        <f>O49+O48</f>
        <v>0</v>
      </c>
      <c r="P50" s="233" t="e">
        <f>P49+P48</f>
        <v>#VALUE!</v>
      </c>
    </row>
    <row r="51" spans="1:16">
      <c r="N51" s="44"/>
      <c r="O51" s="44"/>
      <c r="P51" s="92"/>
    </row>
    <row r="52" spans="1:16" s="23" customFormat="1">
      <c r="A52" s="72"/>
      <c r="B52" s="73"/>
      <c r="C52" s="72"/>
      <c r="D52" s="72"/>
      <c r="E52" s="74"/>
      <c r="F52" s="75"/>
      <c r="G52" s="75"/>
      <c r="H52" s="75"/>
    </row>
    <row r="53" spans="1:16" s="23" customFormat="1">
      <c r="A53" s="76"/>
      <c r="B53" s="77"/>
      <c r="C53" s="78"/>
      <c r="P53" s="94"/>
    </row>
    <row r="54" spans="1:16" s="23" customFormat="1">
      <c r="B54" s="78" t="s">
        <v>27</v>
      </c>
      <c r="C54" s="79"/>
      <c r="D54" s="55">
        <f>Kopsavilkums!E34</f>
        <v>0</v>
      </c>
      <c r="E54" s="80"/>
      <c r="J54" s="23" t="s">
        <v>28</v>
      </c>
      <c r="K54" s="81"/>
      <c r="L54" s="81"/>
      <c r="M54" s="81"/>
      <c r="N54" s="55">
        <f>Kopsavilkums!E39</f>
        <v>0</v>
      </c>
    </row>
    <row r="55" spans="1:16" s="23" customFormat="1">
      <c r="C55" s="75" t="s">
        <v>29</v>
      </c>
      <c r="D55" s="82"/>
      <c r="L55" s="78" t="s">
        <v>29</v>
      </c>
      <c r="N55" s="55"/>
    </row>
    <row r="61" spans="1:16">
      <c r="C61" s="90"/>
    </row>
  </sheetData>
  <mergeCells count="10">
    <mergeCell ref="D11:D13"/>
    <mergeCell ref="E11:E13"/>
    <mergeCell ref="F11:K12"/>
    <mergeCell ref="A1:P1"/>
    <mergeCell ref="A2:P2"/>
    <mergeCell ref="N8:O8"/>
    <mergeCell ref="L11:P12"/>
    <mergeCell ref="A11:A13"/>
    <mergeCell ref="B11:B13"/>
    <mergeCell ref="C11:C13"/>
  </mergeCells>
  <phoneticPr fontId="35" type="noConversion"/>
  <printOptions horizontalCentered="1"/>
  <pageMargins left="0.19685039370078741" right="0.23622047244094491" top="0.78740157480314965" bottom="0.23622047244094491" header="0.51181102362204722" footer="0.19685039370078741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6"/>
  <sheetViews>
    <sheetView topLeftCell="A16" workbookViewId="0">
      <selection activeCell="H34" sqref="H34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6.85546875" style="37" customWidth="1"/>
    <col min="6" max="6" width="7.7109375" style="36" customWidth="1"/>
    <col min="7" max="7" width="8.42578125" style="36" customWidth="1"/>
    <col min="8" max="8" width="8.710937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256" width="11.42578125" style="25" customWidth="1"/>
    <col min="257" max="16384" width="9.140625" style="25"/>
  </cols>
  <sheetData>
    <row r="1" spans="1:16">
      <c r="A1" s="481" t="s">
        <v>114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16">
      <c r="A2" s="482" t="s">
        <v>120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A7" s="33" t="e">
        <f>'Būvlaukums 1-1'!#REF!</f>
        <v>#REF!</v>
      </c>
      <c r="H7" s="191"/>
      <c r="I7" s="24"/>
      <c r="J7" s="24"/>
      <c r="K7" s="24"/>
      <c r="L7" s="24"/>
      <c r="M7" s="24"/>
      <c r="N7" s="24"/>
      <c r="O7" s="24"/>
      <c r="P7" s="24"/>
    </row>
    <row r="8" spans="1:16">
      <c r="A8" s="34"/>
      <c r="B8" s="34"/>
      <c r="F8" s="38"/>
      <c r="K8" s="24"/>
      <c r="L8" s="32" t="s">
        <v>76</v>
      </c>
      <c r="M8" s="24"/>
      <c r="N8" s="483" t="e">
        <f>P41</f>
        <v>#VALUE!</v>
      </c>
      <c r="O8" s="483"/>
      <c r="P8" s="24"/>
    </row>
    <row r="9" spans="1:16">
      <c r="A9" s="34"/>
      <c r="B9" s="34"/>
      <c r="F9" s="38"/>
      <c r="L9" s="40" t="str">
        <f>Kopsavilkums!E10</f>
        <v>Tāme sastādīta: 2017. gada .........</v>
      </c>
      <c r="M9" s="41"/>
      <c r="N9" s="39"/>
      <c r="O9" s="41"/>
      <c r="P9" s="41"/>
    </row>
    <row r="10" spans="1:16">
      <c r="A10" s="42"/>
      <c r="B10" s="42"/>
      <c r="C10" s="43"/>
      <c r="L10" s="24"/>
      <c r="M10" s="24"/>
      <c r="N10" s="24"/>
      <c r="O10" s="24"/>
    </row>
    <row r="11" spans="1:16" s="33" customFormat="1" ht="6" customHeight="1" thickBot="1">
      <c r="A11" s="488" t="s">
        <v>17</v>
      </c>
      <c r="B11" s="491" t="s">
        <v>11</v>
      </c>
      <c r="C11" s="470" t="s">
        <v>12</v>
      </c>
      <c r="D11" s="473" t="s">
        <v>18</v>
      </c>
      <c r="E11" s="476" t="s">
        <v>19</v>
      </c>
      <c r="F11" s="479" t="s">
        <v>13</v>
      </c>
      <c r="G11" s="479"/>
      <c r="H11" s="479"/>
      <c r="I11" s="479"/>
      <c r="J11" s="479"/>
      <c r="K11" s="479"/>
      <c r="L11" s="484" t="s">
        <v>14</v>
      </c>
      <c r="M11" s="484"/>
      <c r="N11" s="484"/>
      <c r="O11" s="484"/>
      <c r="P11" s="485"/>
    </row>
    <row r="12" spans="1:16" s="33" customFormat="1" ht="6.75" customHeight="1" thickBot="1">
      <c r="A12" s="489"/>
      <c r="B12" s="492"/>
      <c r="C12" s="471"/>
      <c r="D12" s="474"/>
      <c r="E12" s="477"/>
      <c r="F12" s="480"/>
      <c r="G12" s="480"/>
      <c r="H12" s="480"/>
      <c r="I12" s="480"/>
      <c r="J12" s="480"/>
      <c r="K12" s="480"/>
      <c r="L12" s="486" t="s">
        <v>20</v>
      </c>
      <c r="M12" s="486"/>
      <c r="N12" s="486" t="s">
        <v>21</v>
      </c>
      <c r="O12" s="486"/>
      <c r="P12" s="487" t="s">
        <v>22</v>
      </c>
    </row>
    <row r="13" spans="1:16" s="33" customFormat="1" ht="44.25" customHeight="1">
      <c r="A13" s="490"/>
      <c r="B13" s="493"/>
      <c r="C13" s="472"/>
      <c r="D13" s="475"/>
      <c r="E13" s="478"/>
      <c r="F13" s="97" t="s">
        <v>23</v>
      </c>
      <c r="G13" s="97" t="s">
        <v>70</v>
      </c>
      <c r="H13" s="97" t="s">
        <v>71</v>
      </c>
      <c r="I13" s="97" t="s">
        <v>72</v>
      </c>
      <c r="J13" s="98" t="s">
        <v>73</v>
      </c>
      <c r="K13" s="98" t="s">
        <v>74</v>
      </c>
      <c r="L13" s="99" t="s">
        <v>24</v>
      </c>
      <c r="M13" s="97" t="s">
        <v>71</v>
      </c>
      <c r="N13" s="97" t="s">
        <v>72</v>
      </c>
      <c r="O13" s="98" t="s">
        <v>73</v>
      </c>
      <c r="P13" s="100" t="s">
        <v>75</v>
      </c>
    </row>
    <row r="14" spans="1:16" s="33" customFormat="1">
      <c r="A14" s="96" t="s">
        <v>68</v>
      </c>
      <c r="B14" s="96" t="s">
        <v>69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 s="33" customFormat="1">
      <c r="A15" s="87"/>
      <c r="B15" s="85"/>
      <c r="C15" s="45" t="s">
        <v>120</v>
      </c>
      <c r="D15" s="57"/>
      <c r="E15" s="108"/>
      <c r="F15" s="272"/>
      <c r="G15" s="273"/>
      <c r="H15" s="147"/>
      <c r="I15" s="147"/>
      <c r="J15" s="147"/>
      <c r="K15" s="147"/>
      <c r="L15" s="274"/>
      <c r="M15" s="147"/>
      <c r="N15" s="147"/>
      <c r="O15" s="147"/>
      <c r="P15" s="147"/>
    </row>
    <row r="16" spans="1:16" s="33" customFormat="1" ht="25.5">
      <c r="A16" s="145">
        <v>1</v>
      </c>
      <c r="B16" s="83" t="s">
        <v>36</v>
      </c>
      <c r="C16" s="103" t="s">
        <v>346</v>
      </c>
      <c r="D16" s="48" t="s">
        <v>44</v>
      </c>
      <c r="E16" s="88">
        <v>164.24</v>
      </c>
      <c r="F16" s="148"/>
      <c r="G16" s="246"/>
      <c r="H16" s="148">
        <f>ROUND(G16*F16,2)</f>
        <v>0</v>
      </c>
      <c r="I16" s="148"/>
      <c r="J16" s="148"/>
      <c r="K16" s="148">
        <f>J16+I16+H16</f>
        <v>0</v>
      </c>
      <c r="L16" s="148">
        <f>ROUND(F16*E16,2)</f>
        <v>0</v>
      </c>
      <c r="M16" s="148">
        <f>ROUND(H16*E16,2)</f>
        <v>0</v>
      </c>
      <c r="N16" s="148"/>
      <c r="O16" s="148">
        <f>ROUND(J16*E16,2)</f>
        <v>0</v>
      </c>
      <c r="P16" s="148">
        <f>O16+N16+M16</f>
        <v>0</v>
      </c>
    </row>
    <row r="17" spans="1:16" s="33" customFormat="1">
      <c r="A17" s="145"/>
      <c r="B17" s="83"/>
      <c r="C17" s="103" t="s">
        <v>253</v>
      </c>
      <c r="D17" s="48" t="s">
        <v>127</v>
      </c>
      <c r="E17" s="140">
        <v>14</v>
      </c>
      <c r="F17" s="148"/>
      <c r="G17" s="246"/>
      <c r="H17" s="148"/>
      <c r="I17" s="148"/>
      <c r="J17" s="148"/>
      <c r="K17" s="148">
        <f>J17+I17+H17</f>
        <v>0</v>
      </c>
      <c r="L17" s="148"/>
      <c r="M17" s="148"/>
      <c r="N17" s="148">
        <f>ROUND(I17*E17,2)</f>
        <v>0</v>
      </c>
      <c r="O17" s="148"/>
      <c r="P17" s="148">
        <f>O17+N17+M17</f>
        <v>0</v>
      </c>
    </row>
    <row r="18" spans="1:16" s="33" customFormat="1">
      <c r="A18" s="145"/>
      <c r="B18" s="83"/>
      <c r="C18" s="103" t="s">
        <v>254</v>
      </c>
      <c r="D18" s="48" t="s">
        <v>127</v>
      </c>
      <c r="E18" s="140">
        <v>9</v>
      </c>
      <c r="F18" s="148"/>
      <c r="G18" s="246"/>
      <c r="H18" s="148"/>
      <c r="I18" s="148"/>
      <c r="J18" s="148"/>
      <c r="K18" s="148">
        <f t="shared" ref="K18:K34" si="1">J18+I18+H18</f>
        <v>0</v>
      </c>
      <c r="L18" s="148"/>
      <c r="M18" s="148"/>
      <c r="N18" s="148">
        <f t="shared" ref="N18:N34" si="2">ROUND(I18*E18,2)</f>
        <v>0</v>
      </c>
      <c r="O18" s="148"/>
      <c r="P18" s="148">
        <f t="shared" ref="P18:P34" si="3">O18+N18+M18</f>
        <v>0</v>
      </c>
    </row>
    <row r="19" spans="1:16" s="33" customFormat="1">
      <c r="A19" s="145"/>
      <c r="B19" s="83"/>
      <c r="C19" s="103" t="s">
        <v>255</v>
      </c>
      <c r="D19" s="48" t="s">
        <v>127</v>
      </c>
      <c r="E19" s="140">
        <v>15</v>
      </c>
      <c r="F19" s="148"/>
      <c r="G19" s="246"/>
      <c r="H19" s="148"/>
      <c r="I19" s="148"/>
      <c r="J19" s="148"/>
      <c r="K19" s="148">
        <f t="shared" si="1"/>
        <v>0</v>
      </c>
      <c r="L19" s="148"/>
      <c r="M19" s="148"/>
      <c r="N19" s="148">
        <f t="shared" si="2"/>
        <v>0</v>
      </c>
      <c r="O19" s="148"/>
      <c r="P19" s="148">
        <f t="shared" si="3"/>
        <v>0</v>
      </c>
    </row>
    <row r="20" spans="1:16" s="33" customFormat="1">
      <c r="A20" s="145"/>
      <c r="B20" s="83"/>
      <c r="C20" s="103" t="s">
        <v>256</v>
      </c>
      <c r="D20" s="48" t="s">
        <v>127</v>
      </c>
      <c r="E20" s="140">
        <v>7</v>
      </c>
      <c r="F20" s="148"/>
      <c r="G20" s="246"/>
      <c r="H20" s="148"/>
      <c r="I20" s="148"/>
      <c r="J20" s="148"/>
      <c r="K20" s="148">
        <f t="shared" ref="K20:K25" si="4">J20+I20+H20</f>
        <v>0</v>
      </c>
      <c r="L20" s="148"/>
      <c r="M20" s="148"/>
      <c r="N20" s="148">
        <f t="shared" ref="N20:N25" si="5">ROUND(I20*E20,2)</f>
        <v>0</v>
      </c>
      <c r="O20" s="148"/>
      <c r="P20" s="148">
        <f t="shared" ref="P20:P25" si="6">O20+N20+M20</f>
        <v>0</v>
      </c>
    </row>
    <row r="21" spans="1:16" s="33" customFormat="1">
      <c r="A21" s="145"/>
      <c r="B21" s="83"/>
      <c r="C21" s="103" t="s">
        <v>257</v>
      </c>
      <c r="D21" s="48" t="s">
        <v>127</v>
      </c>
      <c r="E21" s="140">
        <v>5</v>
      </c>
      <c r="F21" s="148"/>
      <c r="G21" s="246"/>
      <c r="H21" s="148"/>
      <c r="I21" s="148"/>
      <c r="J21" s="148"/>
      <c r="K21" s="148">
        <f t="shared" si="4"/>
        <v>0</v>
      </c>
      <c r="L21" s="148"/>
      <c r="M21" s="148"/>
      <c r="N21" s="148">
        <f t="shared" si="5"/>
        <v>0</v>
      </c>
      <c r="O21" s="148"/>
      <c r="P21" s="148">
        <f t="shared" si="6"/>
        <v>0</v>
      </c>
    </row>
    <row r="22" spans="1:16" s="33" customFormat="1">
      <c r="A22" s="145"/>
      <c r="B22" s="83"/>
      <c r="C22" s="103" t="s">
        <v>258</v>
      </c>
      <c r="D22" s="48" t="s">
        <v>127</v>
      </c>
      <c r="E22" s="140">
        <v>7</v>
      </c>
      <c r="F22" s="148"/>
      <c r="G22" s="246"/>
      <c r="H22" s="148"/>
      <c r="I22" s="148"/>
      <c r="J22" s="148"/>
      <c r="K22" s="148">
        <f t="shared" si="4"/>
        <v>0</v>
      </c>
      <c r="L22" s="148"/>
      <c r="M22" s="148"/>
      <c r="N22" s="148">
        <f t="shared" si="5"/>
        <v>0</v>
      </c>
      <c r="O22" s="148"/>
      <c r="P22" s="148">
        <f t="shared" si="6"/>
        <v>0</v>
      </c>
    </row>
    <row r="23" spans="1:16" s="33" customFormat="1">
      <c r="A23" s="145"/>
      <c r="B23" s="83"/>
      <c r="C23" s="103" t="s">
        <v>259</v>
      </c>
      <c r="D23" s="48" t="s">
        <v>127</v>
      </c>
      <c r="E23" s="140">
        <v>24</v>
      </c>
      <c r="F23" s="148"/>
      <c r="G23" s="246"/>
      <c r="H23" s="148"/>
      <c r="I23" s="148"/>
      <c r="J23" s="148"/>
      <c r="K23" s="148">
        <f t="shared" si="4"/>
        <v>0</v>
      </c>
      <c r="L23" s="148"/>
      <c r="M23" s="148"/>
      <c r="N23" s="148">
        <f t="shared" si="5"/>
        <v>0</v>
      </c>
      <c r="O23" s="148"/>
      <c r="P23" s="148">
        <f t="shared" si="6"/>
        <v>0</v>
      </c>
    </row>
    <row r="24" spans="1:16" s="33" customFormat="1">
      <c r="A24" s="145"/>
      <c r="B24" s="83"/>
      <c r="C24" s="103" t="s">
        <v>247</v>
      </c>
      <c r="D24" s="48" t="s">
        <v>37</v>
      </c>
      <c r="E24" s="140">
        <v>560</v>
      </c>
      <c r="F24" s="148"/>
      <c r="G24" s="246"/>
      <c r="H24" s="148"/>
      <c r="I24" s="148"/>
      <c r="J24" s="148"/>
      <c r="K24" s="148">
        <f t="shared" si="4"/>
        <v>0</v>
      </c>
      <c r="L24" s="148"/>
      <c r="M24" s="148"/>
      <c r="N24" s="148">
        <f t="shared" si="5"/>
        <v>0</v>
      </c>
      <c r="O24" s="148"/>
      <c r="P24" s="148">
        <f t="shared" si="6"/>
        <v>0</v>
      </c>
    </row>
    <row r="25" spans="1:16" s="33" customFormat="1">
      <c r="A25" s="395"/>
      <c r="B25" s="396"/>
      <c r="C25" s="392" t="s">
        <v>248</v>
      </c>
      <c r="D25" s="393" t="s">
        <v>37</v>
      </c>
      <c r="E25" s="394">
        <v>98.5</v>
      </c>
      <c r="F25" s="148"/>
      <c r="G25" s="246"/>
      <c r="H25" s="148"/>
      <c r="I25" s="148"/>
      <c r="J25" s="148"/>
      <c r="K25" s="148">
        <f t="shared" si="4"/>
        <v>0</v>
      </c>
      <c r="L25" s="148"/>
      <c r="M25" s="148"/>
      <c r="N25" s="148">
        <f t="shared" si="5"/>
        <v>0</v>
      </c>
      <c r="O25" s="148"/>
      <c r="P25" s="148">
        <f t="shared" si="6"/>
        <v>0</v>
      </c>
    </row>
    <row r="26" spans="1:16" s="33" customFormat="1">
      <c r="A26" s="145"/>
      <c r="B26" s="83"/>
      <c r="C26" s="103" t="s">
        <v>337</v>
      </c>
      <c r="D26" s="48" t="s">
        <v>37</v>
      </c>
      <c r="E26" s="140">
        <v>460</v>
      </c>
      <c r="F26" s="148"/>
      <c r="G26" s="246"/>
      <c r="H26" s="148"/>
      <c r="I26" s="148"/>
      <c r="J26" s="148"/>
      <c r="K26" s="148">
        <f t="shared" ref="K26:K29" si="7">J26+I26+H26</f>
        <v>0</v>
      </c>
      <c r="L26" s="148"/>
      <c r="M26" s="148"/>
      <c r="N26" s="148">
        <f t="shared" ref="N26:N29" si="8">ROUND(I26*E26,2)</f>
        <v>0</v>
      </c>
      <c r="O26" s="148"/>
      <c r="P26" s="148">
        <f t="shared" ref="P26:P29" si="9">O26+N26+M26</f>
        <v>0</v>
      </c>
    </row>
    <row r="27" spans="1:16" s="33" customFormat="1">
      <c r="A27" s="145"/>
      <c r="B27" s="83"/>
      <c r="C27" s="103" t="s">
        <v>338</v>
      </c>
      <c r="D27" s="48" t="s">
        <v>37</v>
      </c>
      <c r="E27" s="140">
        <v>460</v>
      </c>
      <c r="F27" s="148"/>
      <c r="G27" s="246"/>
      <c r="H27" s="148"/>
      <c r="I27" s="148"/>
      <c r="J27" s="148"/>
      <c r="K27" s="148">
        <f t="shared" si="7"/>
        <v>0</v>
      </c>
      <c r="L27" s="148"/>
      <c r="M27" s="148"/>
      <c r="N27" s="148">
        <f t="shared" si="8"/>
        <v>0</v>
      </c>
      <c r="O27" s="148"/>
      <c r="P27" s="148">
        <f t="shared" si="9"/>
        <v>0</v>
      </c>
    </row>
    <row r="28" spans="1:16" s="33" customFormat="1">
      <c r="A28" s="145"/>
      <c r="B28" s="83"/>
      <c r="C28" s="103" t="s">
        <v>351</v>
      </c>
      <c r="D28" s="48" t="s">
        <v>131</v>
      </c>
      <c r="E28" s="88">
        <v>164.24</v>
      </c>
      <c r="F28" s="148"/>
      <c r="G28" s="246"/>
      <c r="H28" s="148"/>
      <c r="I28" s="308"/>
      <c r="J28" s="148"/>
      <c r="K28" s="148">
        <f t="shared" si="7"/>
        <v>0</v>
      </c>
      <c r="L28" s="148"/>
      <c r="M28" s="148"/>
      <c r="N28" s="148">
        <f t="shared" si="8"/>
        <v>0</v>
      </c>
      <c r="O28" s="148"/>
      <c r="P28" s="148">
        <f t="shared" si="9"/>
        <v>0</v>
      </c>
    </row>
    <row r="29" spans="1:16" s="33" customFormat="1">
      <c r="A29" s="145"/>
      <c r="B29" s="83"/>
      <c r="C29" s="103" t="s">
        <v>349</v>
      </c>
      <c r="D29" s="48" t="s">
        <v>131</v>
      </c>
      <c r="E29" s="88">
        <v>164.24</v>
      </c>
      <c r="F29" s="148"/>
      <c r="G29" s="246"/>
      <c r="H29" s="148"/>
      <c r="I29" s="307"/>
      <c r="J29" s="148"/>
      <c r="K29" s="148">
        <f t="shared" si="7"/>
        <v>0</v>
      </c>
      <c r="L29" s="148"/>
      <c r="M29" s="148"/>
      <c r="N29" s="148">
        <f t="shared" si="8"/>
        <v>0</v>
      </c>
      <c r="O29" s="148"/>
      <c r="P29" s="148">
        <f t="shared" si="9"/>
        <v>0</v>
      </c>
    </row>
    <row r="30" spans="1:16" s="33" customFormat="1">
      <c r="A30" s="145"/>
      <c r="B30" s="83"/>
      <c r="C30" s="103" t="s">
        <v>249</v>
      </c>
      <c r="D30" s="48" t="s">
        <v>37</v>
      </c>
      <c r="E30" s="140">
        <v>1900</v>
      </c>
      <c r="F30" s="148"/>
      <c r="G30" s="246"/>
      <c r="H30" s="148"/>
      <c r="I30" s="148"/>
      <c r="J30" s="148"/>
      <c r="K30" s="148">
        <f t="shared" ref="K30" si="10">J30+I30+H30</f>
        <v>0</v>
      </c>
      <c r="L30" s="148"/>
      <c r="M30" s="148"/>
      <c r="N30" s="148">
        <f t="shared" ref="N30" si="11">ROUND(I30*E30,2)</f>
        <v>0</v>
      </c>
      <c r="O30" s="148"/>
      <c r="P30" s="148">
        <f t="shared" ref="P30" si="12">O30+N30+M30</f>
        <v>0</v>
      </c>
    </row>
    <row r="31" spans="1:16" s="33" customFormat="1" ht="25.5">
      <c r="A31" s="145">
        <v>2</v>
      </c>
      <c r="B31" s="83" t="s">
        <v>36</v>
      </c>
      <c r="C31" s="103" t="s">
        <v>345</v>
      </c>
      <c r="D31" s="48" t="s">
        <v>160</v>
      </c>
      <c r="E31" s="88">
        <v>34.5</v>
      </c>
      <c r="F31" s="148"/>
      <c r="G31" s="246"/>
      <c r="H31" s="148">
        <f t="shared" ref="H31" si="13">ROUND(G31*F31,2)</f>
        <v>0</v>
      </c>
      <c r="I31" s="148"/>
      <c r="J31" s="148"/>
      <c r="K31" s="148">
        <f t="shared" si="1"/>
        <v>0</v>
      </c>
      <c r="L31" s="148">
        <f t="shared" ref="L31" si="14">ROUND(F31*E31,2)</f>
        <v>0</v>
      </c>
      <c r="M31" s="148">
        <f t="shared" ref="M31" si="15">ROUND(H31*E31,2)</f>
        <v>0</v>
      </c>
      <c r="N31" s="148"/>
      <c r="O31" s="148">
        <f t="shared" ref="O31" si="16">ROUND(J31*E31,2)</f>
        <v>0</v>
      </c>
      <c r="P31" s="148">
        <f t="shared" si="3"/>
        <v>0</v>
      </c>
    </row>
    <row r="32" spans="1:16" s="33" customFormat="1">
      <c r="A32" s="145"/>
      <c r="B32" s="83"/>
      <c r="C32" s="103" t="s">
        <v>250</v>
      </c>
      <c r="D32" s="48" t="s">
        <v>127</v>
      </c>
      <c r="E32" s="140">
        <v>6</v>
      </c>
      <c r="F32" s="148"/>
      <c r="G32" s="246"/>
      <c r="H32" s="148"/>
      <c r="I32" s="148"/>
      <c r="J32" s="148"/>
      <c r="K32" s="148">
        <f t="shared" si="1"/>
        <v>0</v>
      </c>
      <c r="L32" s="148"/>
      <c r="M32" s="148"/>
      <c r="N32" s="148">
        <f t="shared" si="2"/>
        <v>0</v>
      </c>
      <c r="O32" s="148"/>
      <c r="P32" s="148">
        <f t="shared" si="3"/>
        <v>0</v>
      </c>
    </row>
    <row r="33" spans="1:16" s="33" customFormat="1">
      <c r="A33" s="145"/>
      <c r="B33" s="83"/>
      <c r="C33" s="103" t="s">
        <v>251</v>
      </c>
      <c r="D33" s="48" t="s">
        <v>127</v>
      </c>
      <c r="E33" s="140">
        <v>6</v>
      </c>
      <c r="F33" s="148"/>
      <c r="G33" s="246"/>
      <c r="H33" s="148"/>
      <c r="I33" s="148"/>
      <c r="J33" s="148"/>
      <c r="K33" s="148">
        <f t="shared" si="1"/>
        <v>0</v>
      </c>
      <c r="L33" s="148"/>
      <c r="M33" s="148"/>
      <c r="N33" s="148">
        <f t="shared" si="2"/>
        <v>0</v>
      </c>
      <c r="O33" s="148"/>
      <c r="P33" s="148">
        <f t="shared" si="3"/>
        <v>0</v>
      </c>
    </row>
    <row r="34" spans="1:16" s="33" customFormat="1">
      <c r="A34" s="145"/>
      <c r="B34" s="83"/>
      <c r="C34" s="103" t="s">
        <v>252</v>
      </c>
      <c r="D34" s="48" t="s">
        <v>127</v>
      </c>
      <c r="E34" s="140">
        <v>6</v>
      </c>
      <c r="F34" s="148"/>
      <c r="G34" s="246"/>
      <c r="H34" s="148"/>
      <c r="I34" s="148"/>
      <c r="J34" s="148"/>
      <c r="K34" s="148">
        <f t="shared" si="1"/>
        <v>0</v>
      </c>
      <c r="L34" s="148"/>
      <c r="M34" s="148"/>
      <c r="N34" s="148">
        <f t="shared" si="2"/>
        <v>0</v>
      </c>
      <c r="O34" s="148"/>
      <c r="P34" s="148">
        <f t="shared" si="3"/>
        <v>0</v>
      </c>
    </row>
    <row r="35" spans="1:16" s="33" customFormat="1">
      <c r="A35" s="145"/>
      <c r="B35" s="83"/>
      <c r="C35" s="103" t="s">
        <v>347</v>
      </c>
      <c r="D35" s="48" t="s">
        <v>37</v>
      </c>
      <c r="E35" s="140">
        <v>65</v>
      </c>
      <c r="F35" s="148"/>
      <c r="G35" s="246"/>
      <c r="H35" s="148"/>
      <c r="I35" s="148"/>
      <c r="J35" s="148"/>
      <c r="K35" s="148">
        <f t="shared" ref="K35:K38" si="17">J35+I35+H35</f>
        <v>0</v>
      </c>
      <c r="L35" s="148"/>
      <c r="M35" s="148"/>
      <c r="N35" s="148">
        <f t="shared" ref="N35:N38" si="18">ROUND(I35*E35,2)</f>
        <v>0</v>
      </c>
      <c r="O35" s="148"/>
      <c r="P35" s="148">
        <f t="shared" ref="P35:P38" si="19">O35+N35+M35</f>
        <v>0</v>
      </c>
    </row>
    <row r="36" spans="1:16" s="33" customFormat="1">
      <c r="A36" s="145"/>
      <c r="B36" s="83"/>
      <c r="C36" s="103" t="s">
        <v>348</v>
      </c>
      <c r="D36" s="48" t="s">
        <v>37</v>
      </c>
      <c r="E36" s="140">
        <v>65</v>
      </c>
      <c r="F36" s="148"/>
      <c r="G36" s="246"/>
      <c r="H36" s="148"/>
      <c r="I36" s="148"/>
      <c r="J36" s="148"/>
      <c r="K36" s="148">
        <f t="shared" si="17"/>
        <v>0</v>
      </c>
      <c r="L36" s="148"/>
      <c r="M36" s="148"/>
      <c r="N36" s="148">
        <f t="shared" si="18"/>
        <v>0</v>
      </c>
      <c r="O36" s="148"/>
      <c r="P36" s="148">
        <f t="shared" si="19"/>
        <v>0</v>
      </c>
    </row>
    <row r="37" spans="1:16" s="33" customFormat="1">
      <c r="A37" s="145"/>
      <c r="B37" s="83"/>
      <c r="C37" s="103" t="s">
        <v>351</v>
      </c>
      <c r="D37" s="48" t="s">
        <v>131</v>
      </c>
      <c r="E37" s="88">
        <v>34.5</v>
      </c>
      <c r="F37" s="148"/>
      <c r="G37" s="246"/>
      <c r="H37" s="148"/>
      <c r="I37" s="308"/>
      <c r="J37" s="148"/>
      <c r="K37" s="148">
        <f t="shared" si="17"/>
        <v>0</v>
      </c>
      <c r="L37" s="148"/>
      <c r="M37" s="148"/>
      <c r="N37" s="148">
        <f t="shared" si="18"/>
        <v>0</v>
      </c>
      <c r="O37" s="148"/>
      <c r="P37" s="148">
        <f t="shared" si="19"/>
        <v>0</v>
      </c>
    </row>
    <row r="38" spans="1:16" s="33" customFormat="1" ht="13.5" thickBot="1">
      <c r="A38" s="145"/>
      <c r="B38" s="83"/>
      <c r="C38" s="103" t="s">
        <v>349</v>
      </c>
      <c r="D38" s="48" t="s">
        <v>131</v>
      </c>
      <c r="E38" s="88">
        <v>34.5</v>
      </c>
      <c r="F38" s="148"/>
      <c r="G38" s="246"/>
      <c r="H38" s="148"/>
      <c r="I38" s="307"/>
      <c r="J38" s="148"/>
      <c r="K38" s="148">
        <f t="shared" si="17"/>
        <v>0</v>
      </c>
      <c r="L38" s="148"/>
      <c r="M38" s="148"/>
      <c r="N38" s="148">
        <f t="shared" si="18"/>
        <v>0</v>
      </c>
      <c r="O38" s="148"/>
      <c r="P38" s="148">
        <f t="shared" si="19"/>
        <v>0</v>
      </c>
    </row>
    <row r="39" spans="1:16" s="66" customFormat="1" ht="13.5" thickBot="1">
      <c r="A39" s="61"/>
      <c r="B39" s="4"/>
      <c r="C39" s="62" t="s">
        <v>25</v>
      </c>
      <c r="D39" s="63"/>
      <c r="E39" s="64"/>
      <c r="F39" s="65"/>
      <c r="G39" s="65"/>
      <c r="H39" s="65"/>
      <c r="I39" s="65"/>
      <c r="J39" s="65"/>
      <c r="K39" s="65"/>
      <c r="L39" s="230">
        <f>SUM(L16:L38)</f>
        <v>0</v>
      </c>
      <c r="M39" s="230">
        <f>SUM(M16:M38)</f>
        <v>0</v>
      </c>
      <c r="N39" s="230">
        <f>SUM(N16:N38)</f>
        <v>0</v>
      </c>
      <c r="O39" s="230">
        <f>SUM(O16:O38)</f>
        <v>0</v>
      </c>
      <c r="P39" s="230">
        <f>SUM(P16:P38)</f>
        <v>0</v>
      </c>
    </row>
    <row r="40" spans="1:16">
      <c r="H40" s="24"/>
      <c r="I40" s="24"/>
      <c r="J40" s="68"/>
      <c r="K40" s="68" t="s">
        <v>26</v>
      </c>
      <c r="L40" s="69" t="s">
        <v>385</v>
      </c>
      <c r="M40" s="203"/>
      <c r="N40" s="203" t="e">
        <f>ROUND(N39*L40,2)</f>
        <v>#VALUE!</v>
      </c>
      <c r="O40" s="203"/>
      <c r="P40" s="231" t="e">
        <f>N40</f>
        <v>#VALUE!</v>
      </c>
    </row>
    <row r="41" spans="1:16">
      <c r="A41" s="70"/>
      <c r="B41" s="70"/>
      <c r="C41" s="70"/>
      <c r="J41" s="71"/>
      <c r="K41" s="71"/>
      <c r="L41" s="71" t="s">
        <v>79</v>
      </c>
      <c r="M41" s="232">
        <f>M40+M39</f>
        <v>0</v>
      </c>
      <c r="N41" s="232" t="e">
        <f>N40+N39</f>
        <v>#VALUE!</v>
      </c>
      <c r="O41" s="232">
        <f>O40+O39</f>
        <v>0</v>
      </c>
      <c r="P41" s="233" t="e">
        <f>P40+P39</f>
        <v>#VALUE!</v>
      </c>
    </row>
    <row r="42" spans="1:16">
      <c r="N42" s="44"/>
      <c r="O42" s="44"/>
      <c r="P42" s="92"/>
    </row>
    <row r="43" spans="1:16" s="23" customFormat="1">
      <c r="A43" s="72"/>
      <c r="B43" s="73"/>
      <c r="C43" s="72"/>
      <c r="D43" s="72"/>
      <c r="E43" s="74"/>
      <c r="F43" s="75"/>
      <c r="G43" s="75"/>
      <c r="H43" s="75"/>
    </row>
    <row r="44" spans="1:16" s="23" customFormat="1">
      <c r="A44" s="76"/>
      <c r="B44" s="77"/>
      <c r="C44" s="78"/>
      <c r="P44" s="94"/>
    </row>
    <row r="45" spans="1:16" s="23" customFormat="1">
      <c r="B45" s="78" t="s">
        <v>27</v>
      </c>
      <c r="C45" s="79"/>
      <c r="D45" s="55">
        <f>Kopsavilkums!E34</f>
        <v>0</v>
      </c>
      <c r="E45" s="80"/>
      <c r="J45" s="23" t="s">
        <v>28</v>
      </c>
      <c r="K45" s="81"/>
      <c r="L45" s="81"/>
      <c r="M45" s="81"/>
      <c r="N45" s="55">
        <f>Kopsavilkums!E39</f>
        <v>0</v>
      </c>
    </row>
    <row r="46" spans="1:16" s="23" customFormat="1">
      <c r="C46" s="75" t="s">
        <v>29</v>
      </c>
      <c r="D46" s="82"/>
      <c r="L46" s="78" t="s">
        <v>29</v>
      </c>
      <c r="N46" s="55"/>
    </row>
  </sheetData>
  <mergeCells count="10">
    <mergeCell ref="C11:C13"/>
    <mergeCell ref="D11:D13"/>
    <mergeCell ref="E11:E13"/>
    <mergeCell ref="F11:K12"/>
    <mergeCell ref="A1:P1"/>
    <mergeCell ref="A2:P2"/>
    <mergeCell ref="N8:O8"/>
    <mergeCell ref="L11:P12"/>
    <mergeCell ref="A11:A13"/>
    <mergeCell ref="B11:B13"/>
  </mergeCells>
  <phoneticPr fontId="35" type="noConversion"/>
  <printOptions horizontalCentered="1"/>
  <pageMargins left="0.39370078740157483" right="0.23622047244094491" top="0.98425196850393704" bottom="0.19685039370078741" header="0.51181102362204722" footer="0.51181102362204722"/>
  <pageSetup paperSize="9" scale="80" orientation="landscape" r:id="rId1"/>
  <headerFooter alignWithMargins="0"/>
  <ignoredErrors>
    <ignoredError sqref="A14:B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8"/>
  <sheetViews>
    <sheetView workbookViewId="0">
      <selection activeCell="A15" sqref="A15:XFD30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6.85546875" style="37" customWidth="1"/>
    <col min="6" max="6" width="7.7109375" style="36" customWidth="1"/>
    <col min="7" max="7" width="8.42578125" style="36" customWidth="1"/>
    <col min="8" max="8" width="8.710937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256" width="11.42578125" style="25" customWidth="1"/>
    <col min="257" max="16384" width="9.140625" style="25"/>
  </cols>
  <sheetData>
    <row r="1" spans="1:20">
      <c r="A1" s="481" t="s">
        <v>148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20">
      <c r="A2" s="482" t="s">
        <v>147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20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 s="27" customFormat="1">
      <c r="A4" s="27" t="str">
        <f>Kopsavilkums!A4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20" s="27" customFormat="1">
      <c r="A5" s="27" t="str">
        <f>Kopsavilkums!A5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20" s="27" customFormat="1">
      <c r="A6" s="27" t="str">
        <f>Kopsavilkums!A6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20" s="33" customFormat="1">
      <c r="H7" s="191"/>
      <c r="I7" s="137"/>
      <c r="J7" s="137"/>
      <c r="K7" s="137"/>
      <c r="L7" s="137"/>
      <c r="M7" s="137"/>
      <c r="N7" s="137"/>
      <c r="O7" s="137"/>
      <c r="P7" s="137"/>
    </row>
    <row r="8" spans="1:20">
      <c r="A8" s="34"/>
      <c r="B8" s="34"/>
      <c r="F8" s="38"/>
      <c r="K8" s="137"/>
      <c r="L8" s="138" t="s">
        <v>76</v>
      </c>
      <c r="M8" s="137"/>
      <c r="N8" s="483" t="e">
        <f>P33</f>
        <v>#VALUE!</v>
      </c>
      <c r="O8" s="483"/>
      <c r="P8" s="137"/>
    </row>
    <row r="9" spans="1:20">
      <c r="A9" s="34"/>
      <c r="B9" s="34"/>
      <c r="F9" s="38"/>
      <c r="L9" s="40" t="str">
        <f>Kopsavilkums!E10</f>
        <v>Tāme sastādīta: 2017. gada .........</v>
      </c>
      <c r="M9" s="41"/>
      <c r="N9" s="139"/>
      <c r="O9" s="41"/>
      <c r="P9" s="41"/>
    </row>
    <row r="10" spans="1:20">
      <c r="A10" s="42"/>
      <c r="B10" s="42"/>
      <c r="C10" s="43"/>
      <c r="L10" s="137"/>
      <c r="M10" s="137"/>
      <c r="N10" s="137"/>
      <c r="O10" s="137"/>
    </row>
    <row r="11" spans="1:20" s="33" customFormat="1" ht="6" customHeight="1" thickBot="1">
      <c r="A11" s="488" t="s">
        <v>17</v>
      </c>
      <c r="B11" s="491" t="s">
        <v>11</v>
      </c>
      <c r="C11" s="470" t="s">
        <v>12</v>
      </c>
      <c r="D11" s="473" t="s">
        <v>18</v>
      </c>
      <c r="E11" s="476" t="s">
        <v>19</v>
      </c>
      <c r="F11" s="479" t="s">
        <v>13</v>
      </c>
      <c r="G11" s="479"/>
      <c r="H11" s="479"/>
      <c r="I11" s="479"/>
      <c r="J11" s="479"/>
      <c r="K11" s="479"/>
      <c r="L11" s="484" t="s">
        <v>14</v>
      </c>
      <c r="M11" s="484"/>
      <c r="N11" s="484"/>
      <c r="O11" s="484"/>
      <c r="P11" s="485"/>
    </row>
    <row r="12" spans="1:20" s="33" customFormat="1" ht="6.75" customHeight="1" thickBot="1">
      <c r="A12" s="489"/>
      <c r="B12" s="492"/>
      <c r="C12" s="471"/>
      <c r="D12" s="474"/>
      <c r="E12" s="477"/>
      <c r="F12" s="480"/>
      <c r="G12" s="480"/>
      <c r="H12" s="480"/>
      <c r="I12" s="480"/>
      <c r="J12" s="480"/>
      <c r="K12" s="480"/>
      <c r="L12" s="486" t="s">
        <v>20</v>
      </c>
      <c r="M12" s="486"/>
      <c r="N12" s="486" t="s">
        <v>21</v>
      </c>
      <c r="O12" s="486"/>
      <c r="P12" s="487" t="s">
        <v>22</v>
      </c>
    </row>
    <row r="13" spans="1:20" s="33" customFormat="1" ht="44.25" customHeight="1">
      <c r="A13" s="490"/>
      <c r="B13" s="493"/>
      <c r="C13" s="472"/>
      <c r="D13" s="475"/>
      <c r="E13" s="478"/>
      <c r="F13" s="97" t="s">
        <v>23</v>
      </c>
      <c r="G13" s="97" t="s">
        <v>70</v>
      </c>
      <c r="H13" s="97" t="s">
        <v>71</v>
      </c>
      <c r="I13" s="97" t="s">
        <v>72</v>
      </c>
      <c r="J13" s="98" t="s">
        <v>73</v>
      </c>
      <c r="K13" s="98" t="s">
        <v>74</v>
      </c>
      <c r="L13" s="99" t="s">
        <v>24</v>
      </c>
      <c r="M13" s="97" t="s">
        <v>71</v>
      </c>
      <c r="N13" s="97" t="s">
        <v>72</v>
      </c>
      <c r="O13" s="98" t="s">
        <v>73</v>
      </c>
      <c r="P13" s="100" t="s">
        <v>75</v>
      </c>
    </row>
    <row r="14" spans="1:20" s="33" customFormat="1">
      <c r="A14" s="96" t="s">
        <v>68</v>
      </c>
      <c r="B14" s="96" t="s">
        <v>69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20" s="33" customFormat="1" ht="25.5">
      <c r="A15" s="46"/>
      <c r="B15" s="7"/>
      <c r="C15" s="143" t="s">
        <v>152</v>
      </c>
      <c r="D15" s="48"/>
      <c r="E15" s="49"/>
      <c r="F15" s="234"/>
      <c r="G15" s="228"/>
      <c r="H15" s="229"/>
      <c r="I15" s="229"/>
      <c r="J15" s="229"/>
      <c r="K15" s="229"/>
      <c r="L15" s="228"/>
      <c r="M15" s="229"/>
      <c r="N15" s="229"/>
      <c r="O15" s="229"/>
      <c r="P15" s="229"/>
    </row>
    <row r="16" spans="1:20" s="33" customFormat="1" ht="15.75">
      <c r="A16" s="46">
        <v>1</v>
      </c>
      <c r="B16" s="7" t="s">
        <v>149</v>
      </c>
      <c r="C16" s="102" t="s">
        <v>153</v>
      </c>
      <c r="D16" s="48" t="s">
        <v>44</v>
      </c>
      <c r="E16" s="49">
        <f>1.8*1.2*'Apkure 2-1'!E16</f>
        <v>617.76</v>
      </c>
      <c r="F16" s="229"/>
      <c r="G16" s="229"/>
      <c r="H16" s="229">
        <f>ROUND(G16*F16,2)</f>
        <v>0</v>
      </c>
      <c r="I16" s="229"/>
      <c r="J16" s="229"/>
      <c r="K16" s="229">
        <f>H16+I16+J16</f>
        <v>0</v>
      </c>
      <c r="L16" s="229">
        <f>ROUND(E16*F16,2)</f>
        <v>0</v>
      </c>
      <c r="M16" s="229">
        <f>ROUND(E16*H16,2)</f>
        <v>0</v>
      </c>
      <c r="N16" s="229">
        <f>ROUND(E16*I16,2)</f>
        <v>0</v>
      </c>
      <c r="O16" s="229">
        <f>ROUND(E16*J16,2)</f>
        <v>0</v>
      </c>
      <c r="P16" s="229">
        <f>O16+N16+M16</f>
        <v>0</v>
      </c>
      <c r="R16" s="141"/>
      <c r="S16" s="141"/>
      <c r="T16" s="141"/>
    </row>
    <row r="17" spans="1:256" s="33" customFormat="1" ht="15.75">
      <c r="A17" s="46">
        <v>2</v>
      </c>
      <c r="B17" s="7" t="s">
        <v>149</v>
      </c>
      <c r="C17" s="142" t="s">
        <v>154</v>
      </c>
      <c r="D17" s="48" t="s">
        <v>44</v>
      </c>
      <c r="E17" s="49">
        <f>E16</f>
        <v>617.76</v>
      </c>
      <c r="F17" s="229"/>
      <c r="G17" s="229"/>
      <c r="H17" s="229">
        <f>ROUND(G17*F17,2)</f>
        <v>0</v>
      </c>
      <c r="I17" s="229"/>
      <c r="J17" s="229"/>
      <c r="K17" s="229">
        <f>H17+I17+J17</f>
        <v>0</v>
      </c>
      <c r="L17" s="229">
        <f>ROUND(E17*F17,2)</f>
        <v>0</v>
      </c>
      <c r="M17" s="229">
        <f>ROUND(E17*H17,2)</f>
        <v>0</v>
      </c>
      <c r="N17" s="229">
        <f>ROUND(E17*I17,2)</f>
        <v>0</v>
      </c>
      <c r="O17" s="229">
        <f>ROUND(E17*J17,2)</f>
        <v>0</v>
      </c>
      <c r="P17" s="229">
        <f>O17+N17+M17</f>
        <v>0</v>
      </c>
      <c r="R17" s="141"/>
      <c r="S17" s="141"/>
      <c r="T17" s="141"/>
    </row>
    <row r="18" spans="1:256" s="133" customFormat="1" ht="15.75">
      <c r="A18" s="46">
        <v>3</v>
      </c>
      <c r="B18" s="7" t="s">
        <v>149</v>
      </c>
      <c r="C18" s="102" t="s">
        <v>150</v>
      </c>
      <c r="D18" s="48" t="s">
        <v>44</v>
      </c>
      <c r="E18" s="147">
        <f>E17</f>
        <v>617.76</v>
      </c>
      <c r="F18" s="229"/>
      <c r="G18" s="229"/>
      <c r="H18" s="147">
        <f>ROUND(G18*F18,2)</f>
        <v>0</v>
      </c>
      <c r="I18" s="229"/>
      <c r="J18" s="229"/>
      <c r="K18" s="229">
        <f>H18+I18+J18</f>
        <v>0</v>
      </c>
      <c r="L18" s="229">
        <f>ROUND(E18*F18,2)</f>
        <v>0</v>
      </c>
      <c r="M18" s="229">
        <f>ROUND(E18*H18,2)</f>
        <v>0</v>
      </c>
      <c r="N18" s="229">
        <f>ROUND(E18*I18,2)</f>
        <v>0</v>
      </c>
      <c r="O18" s="229">
        <f>ROUND(E18*J18,2)</f>
        <v>0</v>
      </c>
      <c r="P18" s="229">
        <f>O18+N18+M18</f>
        <v>0</v>
      </c>
      <c r="R18" s="134"/>
      <c r="S18" s="134"/>
      <c r="T18" s="134"/>
    </row>
    <row r="19" spans="1:256">
      <c r="A19" s="106">
        <v>4</v>
      </c>
      <c r="B19" s="83" t="s">
        <v>54</v>
      </c>
      <c r="C19" s="103" t="s">
        <v>151</v>
      </c>
      <c r="D19" s="48" t="s">
        <v>127</v>
      </c>
      <c r="E19" s="88">
        <v>90</v>
      </c>
      <c r="F19" s="229"/>
      <c r="G19" s="229"/>
      <c r="H19" s="147">
        <f t="shared" ref="H19" si="1">ROUND(G19*F19,2)</f>
        <v>0</v>
      </c>
      <c r="I19" s="229"/>
      <c r="J19" s="229"/>
      <c r="K19" s="229">
        <f t="shared" ref="K19" si="2">H19+I19+J19</f>
        <v>0</v>
      </c>
      <c r="L19" s="229">
        <f t="shared" ref="L19" si="3">ROUND(E19*F19,2)</f>
        <v>0</v>
      </c>
      <c r="M19" s="229">
        <f t="shared" ref="M19" si="4">ROUND(E19*H19,2)</f>
        <v>0</v>
      </c>
      <c r="N19" s="229"/>
      <c r="O19" s="229">
        <f t="shared" ref="O19" si="5">ROUND(E19*J19,2)</f>
        <v>0</v>
      </c>
      <c r="P19" s="229">
        <f t="shared" ref="P19" si="6">O19+N19+M19</f>
        <v>0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>
      <c r="A20" s="106"/>
      <c r="B20" s="83"/>
      <c r="C20" s="144" t="s">
        <v>157</v>
      </c>
      <c r="D20" s="48"/>
      <c r="E20" s="88"/>
      <c r="F20" s="229"/>
      <c r="G20" s="229"/>
      <c r="H20" s="147"/>
      <c r="I20" s="229"/>
      <c r="J20" s="229"/>
      <c r="K20" s="229"/>
      <c r="L20" s="229"/>
      <c r="M20" s="229"/>
      <c r="N20" s="229"/>
      <c r="O20" s="229"/>
      <c r="P20" s="229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>
      <c r="A21" s="106">
        <v>1</v>
      </c>
      <c r="B21" s="83" t="s">
        <v>149</v>
      </c>
      <c r="C21" s="126" t="s">
        <v>177</v>
      </c>
      <c r="D21" s="124" t="s">
        <v>37</v>
      </c>
      <c r="E21" s="88">
        <v>1856.84</v>
      </c>
      <c r="F21" s="229"/>
      <c r="G21" s="229"/>
      <c r="H21" s="147">
        <f t="shared" ref="H21" si="7">ROUND(G21*F21,2)</f>
        <v>0</v>
      </c>
      <c r="I21" s="229"/>
      <c r="J21" s="229"/>
      <c r="K21" s="229">
        <f t="shared" ref="K21" si="8">H21+I21+J21</f>
        <v>0</v>
      </c>
      <c r="L21" s="229">
        <f t="shared" ref="L21" si="9">ROUND(E21*F21,2)</f>
        <v>0</v>
      </c>
      <c r="M21" s="229">
        <f t="shared" ref="M21" si="10">ROUND(E21*H21,2)</f>
        <v>0</v>
      </c>
      <c r="N21" s="229"/>
      <c r="O21" s="229">
        <f t="shared" ref="O21" si="11">ROUND(E21*J21,2)</f>
        <v>0</v>
      </c>
      <c r="P21" s="229">
        <f t="shared" ref="P21" si="12">O21+N21+M21</f>
        <v>0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>
      <c r="A22" s="106"/>
      <c r="B22" s="83"/>
      <c r="C22" s="126" t="s">
        <v>188</v>
      </c>
      <c r="D22" s="124" t="s">
        <v>135</v>
      </c>
      <c r="E22" s="140">
        <f>SUM(E21)*5</f>
        <v>9284</v>
      </c>
      <c r="F22" s="229"/>
      <c r="G22" s="229"/>
      <c r="H22" s="147"/>
      <c r="I22" s="156"/>
      <c r="J22" s="229"/>
      <c r="K22" s="229">
        <f t="shared" ref="K22:K30" si="13">H22+I22+J22</f>
        <v>0</v>
      </c>
      <c r="L22" s="229"/>
      <c r="M22" s="229"/>
      <c r="N22" s="229">
        <f t="shared" ref="N22:N30" si="14">ROUND(E22*I22,2)</f>
        <v>0</v>
      </c>
      <c r="O22" s="229"/>
      <c r="P22" s="229">
        <f t="shared" ref="P22:P30" si="15">O22+N22+M22</f>
        <v>0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>
      <c r="A23" s="106"/>
      <c r="B23" s="83"/>
      <c r="C23" s="126" t="s">
        <v>189</v>
      </c>
      <c r="D23" s="124" t="s">
        <v>131</v>
      </c>
      <c r="E23" s="88">
        <v>600</v>
      </c>
      <c r="F23" s="229"/>
      <c r="G23" s="229"/>
      <c r="H23" s="147"/>
      <c r="I23" s="156"/>
      <c r="J23" s="229"/>
      <c r="K23" s="229">
        <f t="shared" si="13"/>
        <v>0</v>
      </c>
      <c r="L23" s="229"/>
      <c r="M23" s="229"/>
      <c r="N23" s="229">
        <f t="shared" si="14"/>
        <v>0</v>
      </c>
      <c r="O23" s="229"/>
      <c r="P23" s="229">
        <f t="shared" si="15"/>
        <v>0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pans="1:256">
      <c r="A24" s="106"/>
      <c r="B24" s="83"/>
      <c r="C24" s="126" t="s">
        <v>190</v>
      </c>
      <c r="D24" s="124" t="s">
        <v>35</v>
      </c>
      <c r="E24" s="140">
        <f>SUM(E21)</f>
        <v>1857</v>
      </c>
      <c r="F24" s="229"/>
      <c r="G24" s="229"/>
      <c r="H24" s="147"/>
      <c r="I24" s="156"/>
      <c r="J24" s="229"/>
      <c r="K24" s="229">
        <f t="shared" si="13"/>
        <v>0</v>
      </c>
      <c r="L24" s="229"/>
      <c r="M24" s="229"/>
      <c r="N24" s="229">
        <f t="shared" si="14"/>
        <v>0</v>
      </c>
      <c r="O24" s="229"/>
      <c r="P24" s="229">
        <f t="shared" si="15"/>
        <v>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>
      <c r="A25" s="106"/>
      <c r="B25" s="83"/>
      <c r="C25" s="126" t="s">
        <v>165</v>
      </c>
      <c r="D25" s="124" t="s">
        <v>135</v>
      </c>
      <c r="E25" s="140">
        <f>SUM(E21)*5.2</f>
        <v>9656</v>
      </c>
      <c r="F25" s="229"/>
      <c r="G25" s="229"/>
      <c r="H25" s="147"/>
      <c r="I25" s="156"/>
      <c r="J25" s="229"/>
      <c r="K25" s="229">
        <f t="shared" si="13"/>
        <v>0</v>
      </c>
      <c r="L25" s="229"/>
      <c r="M25" s="229"/>
      <c r="N25" s="229">
        <f t="shared" si="14"/>
        <v>0</v>
      </c>
      <c r="O25" s="229"/>
      <c r="P25" s="229">
        <f t="shared" si="15"/>
        <v>0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</row>
    <row r="26" spans="1:256">
      <c r="A26" s="106"/>
      <c r="B26" s="83"/>
      <c r="C26" s="126" t="s">
        <v>164</v>
      </c>
      <c r="D26" s="124" t="s">
        <v>37</v>
      </c>
      <c r="E26" s="88">
        <f>SUM(E21)*1.1</f>
        <v>2042.52</v>
      </c>
      <c r="F26" s="229"/>
      <c r="G26" s="229"/>
      <c r="H26" s="147"/>
      <c r="I26" s="156"/>
      <c r="J26" s="229"/>
      <c r="K26" s="229">
        <f t="shared" si="13"/>
        <v>0</v>
      </c>
      <c r="L26" s="229"/>
      <c r="M26" s="229"/>
      <c r="N26" s="229">
        <f t="shared" si="14"/>
        <v>0</v>
      </c>
      <c r="O26" s="229"/>
      <c r="P26" s="229">
        <f t="shared" si="15"/>
        <v>0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</row>
    <row r="27" spans="1:256">
      <c r="A27" s="106"/>
      <c r="B27" s="83"/>
      <c r="C27" s="126" t="s">
        <v>192</v>
      </c>
      <c r="D27" s="124" t="s">
        <v>37</v>
      </c>
      <c r="E27" s="88">
        <f>SUM(E21)*1.1</f>
        <v>2042.52</v>
      </c>
      <c r="F27" s="229"/>
      <c r="G27" s="229"/>
      <c r="H27" s="147"/>
      <c r="I27" s="156"/>
      <c r="J27" s="229"/>
      <c r="K27" s="229">
        <f t="shared" ref="K27" si="16">H27+I27+J27</f>
        <v>0</v>
      </c>
      <c r="L27" s="229"/>
      <c r="M27" s="229"/>
      <c r="N27" s="229">
        <f t="shared" ref="N27" si="17">ROUND(E27*I27,2)</f>
        <v>0</v>
      </c>
      <c r="O27" s="229"/>
      <c r="P27" s="229">
        <f t="shared" ref="P27" si="18">O27+N27+M27</f>
        <v>0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</row>
    <row r="28" spans="1:256">
      <c r="A28" s="106"/>
      <c r="B28" s="83"/>
      <c r="C28" s="126" t="s">
        <v>191</v>
      </c>
      <c r="D28" s="124" t="s">
        <v>35</v>
      </c>
      <c r="E28" s="140">
        <f>SUM(E21)*0.9</f>
        <v>1671</v>
      </c>
      <c r="F28" s="229"/>
      <c r="G28" s="229"/>
      <c r="H28" s="147"/>
      <c r="I28" s="156"/>
      <c r="J28" s="229"/>
      <c r="K28" s="229">
        <f t="shared" si="13"/>
        <v>0</v>
      </c>
      <c r="L28" s="229"/>
      <c r="M28" s="229"/>
      <c r="N28" s="229">
        <f t="shared" si="14"/>
        <v>0</v>
      </c>
      <c r="O28" s="229"/>
      <c r="P28" s="229">
        <f t="shared" si="15"/>
        <v>0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pans="1:256">
      <c r="A29" s="106"/>
      <c r="B29" s="83"/>
      <c r="C29" s="126" t="s">
        <v>156</v>
      </c>
      <c r="D29" s="124" t="s">
        <v>155</v>
      </c>
      <c r="E29" s="140">
        <f>SUM(E21)*0.09</f>
        <v>167</v>
      </c>
      <c r="F29" s="229"/>
      <c r="G29" s="229"/>
      <c r="H29" s="147"/>
      <c r="I29" s="156"/>
      <c r="J29" s="229"/>
      <c r="K29" s="229">
        <f t="shared" si="13"/>
        <v>0</v>
      </c>
      <c r="L29" s="229"/>
      <c r="M29" s="229"/>
      <c r="N29" s="229">
        <f t="shared" si="14"/>
        <v>0</v>
      </c>
      <c r="O29" s="229"/>
      <c r="P29" s="229">
        <f t="shared" si="15"/>
        <v>0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</row>
    <row r="30" spans="1:256" ht="13.5" thickBot="1">
      <c r="A30" s="106"/>
      <c r="B30" s="83"/>
      <c r="C30" s="126" t="s">
        <v>161</v>
      </c>
      <c r="D30" s="124" t="s">
        <v>155</v>
      </c>
      <c r="E30" s="140">
        <f>SUM(E21)*0.1</f>
        <v>186</v>
      </c>
      <c r="F30" s="229"/>
      <c r="G30" s="229"/>
      <c r="H30" s="147"/>
      <c r="I30" s="156"/>
      <c r="J30" s="229"/>
      <c r="K30" s="229">
        <f t="shared" si="13"/>
        <v>0</v>
      </c>
      <c r="L30" s="229"/>
      <c r="M30" s="229"/>
      <c r="N30" s="229">
        <f t="shared" si="14"/>
        <v>0</v>
      </c>
      <c r="O30" s="229"/>
      <c r="P30" s="229">
        <f t="shared" si="15"/>
        <v>0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</row>
    <row r="31" spans="1:256" s="23" customFormat="1" ht="13.5" thickBot="1">
      <c r="A31" s="61"/>
      <c r="B31" s="4"/>
      <c r="C31" s="62" t="s">
        <v>25</v>
      </c>
      <c r="D31" s="63"/>
      <c r="E31" s="64"/>
      <c r="F31" s="65"/>
      <c r="G31" s="65"/>
      <c r="H31" s="65"/>
      <c r="I31" s="65"/>
      <c r="J31" s="65"/>
      <c r="K31" s="65"/>
      <c r="L31" s="230">
        <f>SUM(L16:L30)</f>
        <v>0</v>
      </c>
      <c r="M31" s="230">
        <f>SUM(M16:M30)</f>
        <v>0</v>
      </c>
      <c r="N31" s="230">
        <f>SUM(N16:N30)</f>
        <v>0</v>
      </c>
      <c r="O31" s="230">
        <f>SUM(O16:O30)</f>
        <v>0</v>
      </c>
      <c r="P31" s="230">
        <f>SUM(P16:P30)</f>
        <v>0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s="23" customFormat="1">
      <c r="A32" s="67"/>
      <c r="B32" s="67"/>
      <c r="C32" s="35"/>
      <c r="D32" s="36"/>
      <c r="E32" s="37"/>
      <c r="F32" s="36"/>
      <c r="G32" s="36"/>
      <c r="H32" s="137"/>
      <c r="I32" s="137"/>
      <c r="J32" s="68"/>
      <c r="K32" s="68" t="s">
        <v>26</v>
      </c>
      <c r="L32" s="69" t="s">
        <v>385</v>
      </c>
      <c r="M32" s="203"/>
      <c r="N32" s="203" t="e">
        <f>ROUND(N31*L32,2)</f>
        <v>#VALUE!</v>
      </c>
      <c r="O32" s="203"/>
      <c r="P32" s="231" t="e">
        <f>N32</f>
        <v>#VALUE!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23" customFormat="1">
      <c r="A33" s="70"/>
      <c r="B33" s="70"/>
      <c r="C33" s="70"/>
      <c r="D33" s="36"/>
      <c r="E33" s="37"/>
      <c r="F33" s="36"/>
      <c r="G33" s="36"/>
      <c r="H33" s="36"/>
      <c r="I33" s="36"/>
      <c r="J33" s="71"/>
      <c r="K33" s="71"/>
      <c r="L33" s="71" t="s">
        <v>79</v>
      </c>
      <c r="M33" s="232">
        <f>M32+M31</f>
        <v>0</v>
      </c>
      <c r="N33" s="232" t="e">
        <f>N32+N31</f>
        <v>#VALUE!</v>
      </c>
      <c r="O33" s="232">
        <f>O32+O31</f>
        <v>0</v>
      </c>
      <c r="P33" s="233" t="e">
        <f>P32+P31</f>
        <v>#VALUE!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s="23" customFormat="1">
      <c r="A34" s="67"/>
      <c r="B34" s="67"/>
      <c r="C34" s="35"/>
      <c r="D34" s="36"/>
      <c r="E34" s="37"/>
      <c r="F34" s="36"/>
      <c r="G34" s="36"/>
      <c r="H34" s="36"/>
      <c r="I34" s="36"/>
      <c r="J34" s="36"/>
      <c r="K34" s="36"/>
      <c r="L34" s="36"/>
      <c r="M34" s="36"/>
      <c r="N34" s="44"/>
      <c r="O34" s="44"/>
      <c r="P34" s="92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>
      <c r="A35" s="72"/>
      <c r="B35" s="73"/>
      <c r="C35" s="72"/>
      <c r="D35" s="72"/>
      <c r="E35" s="74"/>
      <c r="F35" s="75"/>
      <c r="G35" s="75"/>
      <c r="H35" s="75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>
      <c r="A36" s="76"/>
      <c r="B36" s="77"/>
      <c r="C36" s="7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94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>
      <c r="A37" s="23"/>
      <c r="B37" s="78" t="s">
        <v>27</v>
      </c>
      <c r="C37" s="79"/>
      <c r="D37" s="55">
        <f>Kopsavilkums!E34</f>
        <v>0</v>
      </c>
      <c r="E37" s="80"/>
      <c r="F37" s="23"/>
      <c r="G37" s="23"/>
      <c r="H37" s="23"/>
      <c r="I37" s="23"/>
      <c r="J37" s="23" t="s">
        <v>28</v>
      </c>
      <c r="K37" s="81"/>
      <c r="L37" s="81"/>
      <c r="M37" s="81"/>
      <c r="N37" s="55">
        <f>Kopsavilkums!E39</f>
        <v>0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>
      <c r="A38" s="23"/>
      <c r="B38" s="23"/>
      <c r="C38" s="75" t="s">
        <v>29</v>
      </c>
      <c r="D38" s="82"/>
      <c r="E38" s="23"/>
      <c r="F38" s="23"/>
      <c r="G38" s="23"/>
      <c r="H38" s="23"/>
      <c r="I38" s="23"/>
      <c r="J38" s="23"/>
      <c r="K38" s="23"/>
      <c r="L38" s="78" t="s">
        <v>29</v>
      </c>
      <c r="M38" s="23"/>
      <c r="N38" s="5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topLeftCell="A4" workbookViewId="0">
      <selection activeCell="A15" sqref="A15:XFD26"/>
    </sheetView>
  </sheetViews>
  <sheetFormatPr defaultRowHeight="12.75"/>
  <cols>
    <col min="1" max="1" width="3.28515625" style="67" customWidth="1"/>
    <col min="2" max="2" width="7.42578125" style="67" customWidth="1"/>
    <col min="3" max="3" width="53.85546875" style="35" customWidth="1"/>
    <col min="4" max="4" width="5.140625" style="36" customWidth="1"/>
    <col min="5" max="5" width="6.85546875" style="37" customWidth="1"/>
    <col min="6" max="6" width="5.42578125" style="36" customWidth="1"/>
    <col min="7" max="7" width="8" style="36" customWidth="1"/>
    <col min="8" max="8" width="7.85546875" style="36" customWidth="1"/>
    <col min="9" max="9" width="7.28515625" style="36" customWidth="1"/>
    <col min="10" max="10" width="7.42578125" style="36" customWidth="1"/>
    <col min="11" max="11" width="7.28515625" style="36" customWidth="1"/>
    <col min="12" max="12" width="8.85546875" style="36" customWidth="1"/>
    <col min="13" max="13" width="8.42578125" style="36" customWidth="1"/>
    <col min="14" max="14" width="10" style="36" customWidth="1"/>
    <col min="15" max="15" width="8.28515625" style="36" customWidth="1"/>
    <col min="16" max="16" width="9.42578125" style="36" customWidth="1"/>
    <col min="17" max="17" width="8.85546875" style="25" customWidth="1"/>
    <col min="18" max="19" width="10.85546875" style="25" customWidth="1"/>
    <col min="20" max="256" width="11.42578125" style="25" customWidth="1"/>
    <col min="257" max="16384" width="9.140625" style="25"/>
  </cols>
  <sheetData>
    <row r="1" spans="1:16">
      <c r="A1" s="481" t="s">
        <v>260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16">
      <c r="A2" s="482" t="s">
        <v>261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7" customFormat="1">
      <c r="A4" s="27" t="str">
        <f>Kopsavilkums!A4</f>
        <v>Būves nosaukums:  Daudzdzīvokļu ēka</v>
      </c>
      <c r="B4" s="28"/>
      <c r="C4" s="28"/>
      <c r="D4" s="28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</row>
    <row r="5" spans="1:16" s="27" customFormat="1">
      <c r="A5" s="27" t="str">
        <f>Kopsavilkums!A5</f>
        <v xml:space="preserve">Objekta nosaukums: Energoefektivitātes paaugstināšanas projekts dzīvojamai mājai </v>
      </c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</row>
    <row r="6" spans="1:16" s="27" customFormat="1">
      <c r="A6" s="27" t="str">
        <f>Kopsavilkums!A6</f>
        <v>Objekta adrese:  Gaismas iela 19 k-7, Ķekava, Ķekavas pag., Ķekavas nov., LV-2123, KAD.NR.80700081265001</v>
      </c>
      <c r="E6" s="31"/>
      <c r="F6" s="31"/>
      <c r="G6" s="31"/>
      <c r="H6" s="31"/>
      <c r="I6" s="31"/>
      <c r="J6" s="31"/>
      <c r="K6" s="30"/>
      <c r="L6" s="30"/>
      <c r="M6" s="30"/>
      <c r="N6" s="30"/>
      <c r="O6" s="30"/>
      <c r="P6" s="30"/>
    </row>
    <row r="7" spans="1:16" s="33" customFormat="1">
      <c r="H7" s="191"/>
      <c r="I7" s="191"/>
      <c r="J7" s="191"/>
      <c r="K7" s="191"/>
      <c r="L7" s="191"/>
      <c r="M7" s="191"/>
      <c r="N7" s="191"/>
      <c r="O7" s="191"/>
      <c r="P7" s="191"/>
    </row>
    <row r="8" spans="1:16">
      <c r="A8" s="34"/>
      <c r="B8" s="34"/>
      <c r="F8" s="38"/>
      <c r="K8" s="191"/>
      <c r="L8" s="192" t="s">
        <v>76</v>
      </c>
      <c r="M8" s="191"/>
      <c r="N8" s="483" t="e">
        <f>P29</f>
        <v>#VALUE!</v>
      </c>
      <c r="O8" s="483"/>
      <c r="P8" s="191"/>
    </row>
    <row r="9" spans="1:16">
      <c r="A9" s="34"/>
      <c r="B9" s="34"/>
      <c r="F9" s="38"/>
      <c r="L9" s="40" t="str">
        <f>Kopsavilkums!E10</f>
        <v>Tāme sastādīta: 2017. gada .........</v>
      </c>
      <c r="M9" s="41"/>
      <c r="N9" s="193"/>
      <c r="O9" s="41"/>
      <c r="P9" s="41"/>
    </row>
    <row r="10" spans="1:16">
      <c r="A10" s="42"/>
      <c r="B10" s="42"/>
      <c r="C10" s="43"/>
      <c r="L10" s="191"/>
      <c r="M10" s="191"/>
      <c r="N10" s="191"/>
      <c r="O10" s="191"/>
    </row>
    <row r="11" spans="1:16" s="33" customFormat="1" ht="13.5" thickBot="1">
      <c r="A11" s="488" t="s">
        <v>17</v>
      </c>
      <c r="B11" s="491" t="s">
        <v>11</v>
      </c>
      <c r="C11" s="470" t="s">
        <v>12</v>
      </c>
      <c r="D11" s="473" t="s">
        <v>18</v>
      </c>
      <c r="E11" s="476" t="s">
        <v>19</v>
      </c>
      <c r="F11" s="479" t="s">
        <v>13</v>
      </c>
      <c r="G11" s="479"/>
      <c r="H11" s="479"/>
      <c r="I11" s="479"/>
      <c r="J11" s="479"/>
      <c r="K11" s="479"/>
      <c r="L11" s="484" t="s">
        <v>14</v>
      </c>
      <c r="M11" s="484"/>
      <c r="N11" s="484"/>
      <c r="O11" s="484"/>
      <c r="P11" s="485"/>
    </row>
    <row r="12" spans="1:16" s="33" customFormat="1" ht="13.5" thickBot="1">
      <c r="A12" s="489"/>
      <c r="B12" s="492"/>
      <c r="C12" s="471"/>
      <c r="D12" s="474"/>
      <c r="E12" s="477"/>
      <c r="F12" s="480"/>
      <c r="G12" s="480"/>
      <c r="H12" s="480"/>
      <c r="I12" s="480"/>
      <c r="J12" s="480"/>
      <c r="K12" s="480"/>
      <c r="L12" s="486" t="s">
        <v>20</v>
      </c>
      <c r="M12" s="486"/>
      <c r="N12" s="486" t="s">
        <v>21</v>
      </c>
      <c r="O12" s="486"/>
      <c r="P12" s="487" t="s">
        <v>22</v>
      </c>
    </row>
    <row r="13" spans="1:16" s="33" customFormat="1" ht="45">
      <c r="A13" s="490"/>
      <c r="B13" s="493"/>
      <c r="C13" s="472"/>
      <c r="D13" s="475"/>
      <c r="E13" s="478"/>
      <c r="F13" s="97" t="s">
        <v>23</v>
      </c>
      <c r="G13" s="97" t="s">
        <v>70</v>
      </c>
      <c r="H13" s="97" t="s">
        <v>71</v>
      </c>
      <c r="I13" s="97" t="s">
        <v>72</v>
      </c>
      <c r="J13" s="98" t="s">
        <v>73</v>
      </c>
      <c r="K13" s="98" t="s">
        <v>74</v>
      </c>
      <c r="L13" s="99" t="s">
        <v>24</v>
      </c>
      <c r="M13" s="97" t="s">
        <v>71</v>
      </c>
      <c r="N13" s="97" t="s">
        <v>72</v>
      </c>
      <c r="O13" s="98" t="s">
        <v>73</v>
      </c>
      <c r="P13" s="100" t="s">
        <v>75</v>
      </c>
    </row>
    <row r="14" spans="1:16" s="33" customFormat="1">
      <c r="A14" s="46">
        <v>1</v>
      </c>
      <c r="B14" s="96" t="s">
        <v>69</v>
      </c>
      <c r="C14" s="46">
        <f>B14+1</f>
        <v>3</v>
      </c>
      <c r="D14" s="46">
        <f t="shared" ref="D14:P14" si="0">C14+1</f>
        <v>4</v>
      </c>
      <c r="E14" s="46">
        <f t="shared" si="0"/>
        <v>5</v>
      </c>
      <c r="F14" s="46">
        <f t="shared" si="0"/>
        <v>6</v>
      </c>
      <c r="G14" s="46">
        <f t="shared" si="0"/>
        <v>7</v>
      </c>
      <c r="H14" s="46">
        <f t="shared" si="0"/>
        <v>8</v>
      </c>
      <c r="I14" s="46">
        <f t="shared" si="0"/>
        <v>9</v>
      </c>
      <c r="J14" s="46">
        <f t="shared" si="0"/>
        <v>10</v>
      </c>
      <c r="K14" s="46">
        <f t="shared" si="0"/>
        <v>11</v>
      </c>
      <c r="L14" s="46">
        <f t="shared" si="0"/>
        <v>12</v>
      </c>
      <c r="M14" s="46">
        <f t="shared" si="0"/>
        <v>13</v>
      </c>
      <c r="N14" s="46">
        <f t="shared" si="0"/>
        <v>14</v>
      </c>
      <c r="O14" s="46">
        <f t="shared" si="0"/>
        <v>15</v>
      </c>
      <c r="P14" s="46">
        <f t="shared" si="0"/>
        <v>16</v>
      </c>
    </row>
    <row r="15" spans="1:16" s="33" customFormat="1" ht="15.75">
      <c r="A15" s="320">
        <v>1</v>
      </c>
      <c r="B15" s="321" t="s">
        <v>265</v>
      </c>
      <c r="C15" s="322" t="s">
        <v>266</v>
      </c>
      <c r="D15" s="323" t="s">
        <v>44</v>
      </c>
      <c r="E15" s="324">
        <v>231.16</v>
      </c>
      <c r="F15" s="325"/>
      <c r="G15" s="319"/>
      <c r="H15" s="324">
        <f>ROUND(G15*F15,2)</f>
        <v>0</v>
      </c>
      <c r="I15" s="319"/>
      <c r="J15" s="319"/>
      <c r="K15" s="319">
        <f t="shared" ref="K15:K18" si="1">J15+I15+H15</f>
        <v>0</v>
      </c>
      <c r="L15" s="319">
        <f t="shared" ref="L15" si="2">ROUND(F15*E15,2)</f>
        <v>0</v>
      </c>
      <c r="M15" s="319">
        <f t="shared" ref="M15" si="3">ROUND(H15*E15,2)</f>
        <v>0</v>
      </c>
      <c r="N15" s="319"/>
      <c r="O15" s="319">
        <f t="shared" ref="O15" si="4">ROUND(J15*E15,2)</f>
        <v>0</v>
      </c>
      <c r="P15" s="319">
        <f t="shared" ref="P15:P18" si="5">O15+N15+M15</f>
        <v>0</v>
      </c>
    </row>
    <row r="16" spans="1:16" s="33" customFormat="1">
      <c r="A16" s="323"/>
      <c r="B16" s="321"/>
      <c r="C16" s="326" t="s">
        <v>208</v>
      </c>
      <c r="D16" s="323" t="s">
        <v>35</v>
      </c>
      <c r="E16" s="327">
        <f>SUM(E15)*0.2</f>
        <v>46</v>
      </c>
      <c r="F16" s="325"/>
      <c r="G16" s="319"/>
      <c r="H16" s="319"/>
      <c r="I16" s="319"/>
      <c r="J16" s="319"/>
      <c r="K16" s="319">
        <f t="shared" si="1"/>
        <v>0</v>
      </c>
      <c r="L16" s="319"/>
      <c r="M16" s="319"/>
      <c r="N16" s="319">
        <f t="shared" ref="N16:N18" si="6">ROUND(I16*E16,2)</f>
        <v>0</v>
      </c>
      <c r="O16" s="319"/>
      <c r="P16" s="319">
        <f t="shared" si="5"/>
        <v>0</v>
      </c>
    </row>
    <row r="17" spans="1:16" s="33" customFormat="1">
      <c r="A17" s="323"/>
      <c r="B17" s="321"/>
      <c r="C17" s="322" t="s">
        <v>267</v>
      </c>
      <c r="D17" s="323" t="s">
        <v>35</v>
      </c>
      <c r="E17" s="327">
        <f>SUM(E15)*6</f>
        <v>1387</v>
      </c>
      <c r="F17" s="325"/>
      <c r="G17" s="319"/>
      <c r="H17" s="319"/>
      <c r="I17" s="319"/>
      <c r="J17" s="319"/>
      <c r="K17" s="319">
        <f t="shared" si="1"/>
        <v>0</v>
      </c>
      <c r="L17" s="319"/>
      <c r="M17" s="319"/>
      <c r="N17" s="319">
        <f t="shared" si="6"/>
        <v>0</v>
      </c>
      <c r="O17" s="319"/>
      <c r="P17" s="319">
        <f t="shared" si="5"/>
        <v>0</v>
      </c>
    </row>
    <row r="18" spans="1:16" s="33" customFormat="1">
      <c r="A18" s="323"/>
      <c r="B18" s="321"/>
      <c r="C18" s="322" t="s">
        <v>268</v>
      </c>
      <c r="D18" s="323" t="s">
        <v>35</v>
      </c>
      <c r="E18" s="327">
        <f>SUM(E15)*3</f>
        <v>693</v>
      </c>
      <c r="F18" s="325"/>
      <c r="G18" s="319"/>
      <c r="H18" s="319"/>
      <c r="I18" s="319"/>
      <c r="J18" s="319"/>
      <c r="K18" s="319">
        <f t="shared" si="1"/>
        <v>0</v>
      </c>
      <c r="L18" s="319"/>
      <c r="M18" s="319"/>
      <c r="N18" s="319">
        <f t="shared" si="6"/>
        <v>0</v>
      </c>
      <c r="O18" s="319"/>
      <c r="P18" s="319">
        <f t="shared" si="5"/>
        <v>0</v>
      </c>
    </row>
    <row r="19" spans="1:16" s="133" customFormat="1" ht="15.75">
      <c r="A19" s="320">
        <v>2</v>
      </c>
      <c r="B19" s="321" t="s">
        <v>149</v>
      </c>
      <c r="C19" s="322" t="s">
        <v>262</v>
      </c>
      <c r="D19" s="323" t="s">
        <v>44</v>
      </c>
      <c r="E19" s="324">
        <v>924.65</v>
      </c>
      <c r="F19" s="325"/>
      <c r="G19" s="319"/>
      <c r="H19" s="324">
        <f>ROUND(G19*F19,2)</f>
        <v>0</v>
      </c>
      <c r="I19" s="319"/>
      <c r="J19" s="319"/>
      <c r="K19" s="319">
        <f t="shared" ref="K19:K26" si="7">J19+I19+H19</f>
        <v>0</v>
      </c>
      <c r="L19" s="319">
        <f t="shared" ref="L19:L24" si="8">ROUND(F19*E19,2)</f>
        <v>0</v>
      </c>
      <c r="M19" s="319">
        <f t="shared" ref="M19:M24" si="9">ROUND(H19*E19,2)</f>
        <v>0</v>
      </c>
      <c r="N19" s="319"/>
      <c r="O19" s="319">
        <f t="shared" ref="O19:O24" si="10">ROUND(J19*E19,2)</f>
        <v>0</v>
      </c>
      <c r="P19" s="319">
        <f t="shared" ref="P19:P26" si="11">O19+N19+M19</f>
        <v>0</v>
      </c>
    </row>
    <row r="20" spans="1:16" s="133" customFormat="1">
      <c r="A20" s="320"/>
      <c r="B20" s="321"/>
      <c r="C20" s="322" t="s">
        <v>208</v>
      </c>
      <c r="D20" s="323" t="s">
        <v>35</v>
      </c>
      <c r="E20" s="327">
        <f>E19*0.2</f>
        <v>185</v>
      </c>
      <c r="F20" s="325"/>
      <c r="G20" s="319"/>
      <c r="H20" s="324"/>
      <c r="I20" s="319"/>
      <c r="J20" s="319"/>
      <c r="K20" s="319">
        <f t="shared" si="7"/>
        <v>0</v>
      </c>
      <c r="L20" s="319"/>
      <c r="M20" s="319"/>
      <c r="N20" s="319">
        <f t="shared" ref="N20:N26" si="12">ROUND(I20*E20,2)</f>
        <v>0</v>
      </c>
      <c r="O20" s="319"/>
      <c r="P20" s="319">
        <f t="shared" si="11"/>
        <v>0</v>
      </c>
    </row>
    <row r="21" spans="1:16" s="133" customFormat="1" ht="15.75">
      <c r="A21" s="320">
        <v>3</v>
      </c>
      <c r="B21" s="321" t="s">
        <v>38</v>
      </c>
      <c r="C21" s="322" t="s">
        <v>263</v>
      </c>
      <c r="D21" s="323" t="s">
        <v>44</v>
      </c>
      <c r="E21" s="324">
        <f>SUM(E19)</f>
        <v>924.65</v>
      </c>
      <c r="F21" s="325"/>
      <c r="G21" s="319"/>
      <c r="H21" s="324">
        <f>ROUND(G21*F21,2)</f>
        <v>0</v>
      </c>
      <c r="I21" s="319"/>
      <c r="J21" s="319"/>
      <c r="K21" s="319">
        <f t="shared" si="7"/>
        <v>0</v>
      </c>
      <c r="L21" s="319">
        <f t="shared" si="8"/>
        <v>0</v>
      </c>
      <c r="M21" s="319">
        <f t="shared" si="9"/>
        <v>0</v>
      </c>
      <c r="N21" s="319"/>
      <c r="O21" s="319">
        <f t="shared" si="10"/>
        <v>0</v>
      </c>
      <c r="P21" s="319">
        <f t="shared" si="11"/>
        <v>0</v>
      </c>
    </row>
    <row r="22" spans="1:16" s="133" customFormat="1" ht="25.5">
      <c r="A22" s="323"/>
      <c r="B22" s="321"/>
      <c r="C22" s="326" t="s">
        <v>350</v>
      </c>
      <c r="D22" s="323" t="s">
        <v>44</v>
      </c>
      <c r="E22" s="324">
        <f>E21*1.05</f>
        <v>970.88</v>
      </c>
      <c r="F22" s="325"/>
      <c r="G22" s="319"/>
      <c r="H22" s="319"/>
      <c r="I22" s="319"/>
      <c r="J22" s="319"/>
      <c r="K22" s="319">
        <f t="shared" si="7"/>
        <v>0</v>
      </c>
      <c r="L22" s="319"/>
      <c r="M22" s="319"/>
      <c r="N22" s="319">
        <f t="shared" si="12"/>
        <v>0</v>
      </c>
      <c r="O22" s="319"/>
      <c r="P22" s="319">
        <f t="shared" si="11"/>
        <v>0</v>
      </c>
    </row>
    <row r="23" spans="1:16" s="133" customFormat="1">
      <c r="A23" s="323"/>
      <c r="B23" s="321"/>
      <c r="C23" s="322" t="s">
        <v>31</v>
      </c>
      <c r="D23" s="323" t="s">
        <v>35</v>
      </c>
      <c r="E23" s="327">
        <f>E21*6</f>
        <v>5548</v>
      </c>
      <c r="F23" s="325"/>
      <c r="G23" s="319"/>
      <c r="H23" s="319"/>
      <c r="I23" s="319"/>
      <c r="J23" s="319"/>
      <c r="K23" s="319">
        <f t="shared" si="7"/>
        <v>0</v>
      </c>
      <c r="L23" s="319"/>
      <c r="M23" s="319"/>
      <c r="N23" s="319">
        <f t="shared" si="12"/>
        <v>0</v>
      </c>
      <c r="O23" s="319"/>
      <c r="P23" s="319">
        <f t="shared" si="11"/>
        <v>0</v>
      </c>
    </row>
    <row r="24" spans="1:16" s="133" customFormat="1" ht="15.75">
      <c r="A24" s="323">
        <v>4</v>
      </c>
      <c r="B24" s="321" t="s">
        <v>149</v>
      </c>
      <c r="C24" s="322" t="s">
        <v>264</v>
      </c>
      <c r="D24" s="323" t="s">
        <v>44</v>
      </c>
      <c r="E24" s="325">
        <f>SUM(E19)</f>
        <v>924.65</v>
      </c>
      <c r="F24" s="325"/>
      <c r="G24" s="319"/>
      <c r="H24" s="324">
        <f>ROUND(G24*F24,2)</f>
        <v>0</v>
      </c>
      <c r="I24" s="319"/>
      <c r="J24" s="319"/>
      <c r="K24" s="319">
        <f t="shared" si="7"/>
        <v>0</v>
      </c>
      <c r="L24" s="319">
        <f t="shared" si="8"/>
        <v>0</v>
      </c>
      <c r="M24" s="319">
        <f t="shared" si="9"/>
        <v>0</v>
      </c>
      <c r="N24" s="319"/>
      <c r="O24" s="319">
        <f t="shared" si="10"/>
        <v>0</v>
      </c>
      <c r="P24" s="319">
        <f t="shared" si="11"/>
        <v>0</v>
      </c>
    </row>
    <row r="25" spans="1:16" s="133" customFormat="1">
      <c r="A25" s="323"/>
      <c r="B25" s="321"/>
      <c r="C25" s="322" t="s">
        <v>50</v>
      </c>
      <c r="D25" s="323" t="s">
        <v>35</v>
      </c>
      <c r="E25" s="325">
        <f>E24*0.18</f>
        <v>166.44</v>
      </c>
      <c r="F25" s="325"/>
      <c r="G25" s="319"/>
      <c r="H25" s="319"/>
      <c r="I25" s="319"/>
      <c r="J25" s="319"/>
      <c r="K25" s="319">
        <f t="shared" si="7"/>
        <v>0</v>
      </c>
      <c r="L25" s="319"/>
      <c r="M25" s="319"/>
      <c r="N25" s="319">
        <f t="shared" si="12"/>
        <v>0</v>
      </c>
      <c r="O25" s="319"/>
      <c r="P25" s="319">
        <f t="shared" si="11"/>
        <v>0</v>
      </c>
    </row>
    <row r="26" spans="1:16" s="133" customFormat="1" ht="13.5" thickBot="1">
      <c r="A26" s="56"/>
      <c r="B26" s="84"/>
      <c r="C26" s="190" t="s">
        <v>161</v>
      </c>
      <c r="D26" s="56" t="s">
        <v>35</v>
      </c>
      <c r="E26" s="146">
        <f>E24*0.3</f>
        <v>277.39999999999998</v>
      </c>
      <c r="F26" s="146"/>
      <c r="G26" s="249"/>
      <c r="H26" s="249"/>
      <c r="I26" s="249"/>
      <c r="J26" s="249"/>
      <c r="K26" s="249">
        <f t="shared" si="7"/>
        <v>0</v>
      </c>
      <c r="L26" s="249"/>
      <c r="M26" s="249"/>
      <c r="N26" s="249">
        <f t="shared" si="12"/>
        <v>0</v>
      </c>
      <c r="O26" s="249"/>
      <c r="P26" s="249">
        <f t="shared" si="11"/>
        <v>0</v>
      </c>
    </row>
    <row r="27" spans="1:16" s="66" customFormat="1" ht="13.5" thickBot="1">
      <c r="A27" s="61"/>
      <c r="B27" s="4"/>
      <c r="C27" s="62" t="s">
        <v>25</v>
      </c>
      <c r="D27" s="63"/>
      <c r="E27" s="64"/>
      <c r="F27" s="65"/>
      <c r="G27" s="65"/>
      <c r="H27" s="65"/>
      <c r="I27" s="65"/>
      <c r="J27" s="65"/>
      <c r="K27" s="65"/>
      <c r="L27" s="230">
        <f>SUM(L15:L26)</f>
        <v>0</v>
      </c>
      <c r="M27" s="230">
        <f>SUM(M15:M26)</f>
        <v>0</v>
      </c>
      <c r="N27" s="230">
        <f>SUM(N15:N26)</f>
        <v>0</v>
      </c>
      <c r="O27" s="230">
        <f>SUM(O15:O26)</f>
        <v>0</v>
      </c>
      <c r="P27" s="230">
        <f>SUM(P15:P26)</f>
        <v>0</v>
      </c>
    </row>
    <row r="28" spans="1:16">
      <c r="H28" s="191"/>
      <c r="I28" s="191"/>
      <c r="J28" s="68"/>
      <c r="K28" s="68" t="s">
        <v>26</v>
      </c>
      <c r="L28" s="69" t="s">
        <v>385</v>
      </c>
      <c r="M28" s="203"/>
      <c r="N28" s="203" t="e">
        <f>ROUND(N27*L28,2)</f>
        <v>#VALUE!</v>
      </c>
      <c r="O28" s="203"/>
      <c r="P28" s="231" t="e">
        <f>N28</f>
        <v>#VALUE!</v>
      </c>
    </row>
    <row r="29" spans="1:16">
      <c r="A29" s="70"/>
      <c r="B29" s="70"/>
      <c r="C29" s="70"/>
      <c r="J29" s="71"/>
      <c r="K29" s="71"/>
      <c r="L29" s="71" t="s">
        <v>79</v>
      </c>
      <c r="M29" s="232">
        <f>M28+M27</f>
        <v>0</v>
      </c>
      <c r="N29" s="232" t="e">
        <f>N28+N27</f>
        <v>#VALUE!</v>
      </c>
      <c r="O29" s="232">
        <f>O28+O27</f>
        <v>0</v>
      </c>
      <c r="P29" s="233" t="e">
        <f>P28+P27</f>
        <v>#VALUE!</v>
      </c>
    </row>
    <row r="30" spans="1:16">
      <c r="N30" s="44"/>
      <c r="O30" s="44"/>
      <c r="P30" s="92"/>
    </row>
    <row r="31" spans="1:16" s="23" customFormat="1">
      <c r="A31" s="72"/>
      <c r="B31" s="73"/>
      <c r="C31" s="72"/>
      <c r="D31" s="72"/>
      <c r="E31" s="74"/>
      <c r="F31" s="75"/>
      <c r="G31" s="75"/>
      <c r="H31" s="197"/>
    </row>
    <row r="32" spans="1:16" s="23" customFormat="1">
      <c r="A32" s="76"/>
      <c r="B32" s="77"/>
      <c r="C32" s="78"/>
      <c r="P32" s="94"/>
    </row>
    <row r="33" spans="2:14" s="23" customFormat="1">
      <c r="B33" s="78" t="s">
        <v>27</v>
      </c>
      <c r="C33" s="79"/>
      <c r="D33" s="55">
        <f>(Kopsavilkums!E34)</f>
        <v>0</v>
      </c>
      <c r="E33" s="80"/>
      <c r="J33" s="23" t="s">
        <v>28</v>
      </c>
      <c r="K33" s="81"/>
      <c r="L33" s="81"/>
      <c r="M33" s="81"/>
      <c r="N33" s="55">
        <f>('Iekšējā apdare 1-6'!N37)</f>
        <v>0</v>
      </c>
    </row>
    <row r="34" spans="2:14" s="23" customFormat="1">
      <c r="C34" s="75" t="s">
        <v>29</v>
      </c>
      <c r="D34" s="82"/>
      <c r="L34" s="78" t="s">
        <v>29</v>
      </c>
      <c r="N34" s="55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Koptāme </vt:lpstr>
      <vt:lpstr>Kopsavilkums</vt:lpstr>
      <vt:lpstr>Būvlaukums 1-1</vt:lpstr>
      <vt:lpstr>Jumts 1-2</vt:lpstr>
      <vt:lpstr>Fasāde 1-3</vt:lpstr>
      <vt:lpstr>Cokols 1-4</vt:lpstr>
      <vt:lpstr>Durvis, logi 1-5</vt:lpstr>
      <vt:lpstr>Iekšējā apdare 1-6</vt:lpstr>
      <vt:lpstr>pagraba griesti 1-7</vt:lpstr>
      <vt:lpstr>Apkure 2-1</vt:lpstr>
      <vt:lpstr>2-2</vt:lpstr>
      <vt:lpstr>'Cokols 1-4'!Print_Titles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Juris</cp:lastModifiedBy>
  <cp:lastPrinted>2017-04-24T11:15:39Z</cp:lastPrinted>
  <dcterms:created xsi:type="dcterms:W3CDTF">2011-04-18T06:11:14Z</dcterms:created>
  <dcterms:modified xsi:type="dcterms:W3CDTF">2018-01-19T10:09:25Z</dcterms:modified>
</cp:coreProperties>
</file>